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41FDCE07-2442-490C-8A4C-FE8544340309}" xr6:coauthVersionLast="45" xr6:coauthVersionMax="45" xr10:uidLastSave="{00000000-0000-0000-0000-000000000000}"/>
  <bookViews>
    <workbookView xWindow="1125" yWindow="1125" windowWidth="17640" windowHeight="8835" xr2:uid="{00000000-000D-0000-FFFF-FFFF00000000}"/>
  </bookViews>
  <sheets>
    <sheet name="説明" sheetId="1" r:id="rId1"/>
    <sheet name="確認シートA" sheetId="2" r:id="rId2"/>
    <sheet name="確認シートB" sheetId="3" r:id="rId3"/>
    <sheet name="確認シートC" sheetId="4" r:id="rId4"/>
    <sheet name="ボディマスタ" sheetId="5" r:id="rId5"/>
    <sheet name="主原料マスタ" sheetId="6" r:id="rId6"/>
    <sheet name="ロジック形状" sheetId="7" r:id="rId7"/>
    <sheet name="ロジックマスタ" sheetId="8" r:id="rId8"/>
    <sheet name="ロジックテーブル" sheetId="9"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32" i="9" l="1"/>
  <c r="W32" i="9"/>
  <c r="AD25" i="9" s="1"/>
  <c r="U32" i="9"/>
  <c r="S32" i="9"/>
  <c r="AD21" i="9" s="1"/>
  <c r="M32" i="9"/>
  <c r="K32" i="9"/>
  <c r="AD13" i="9" s="1"/>
  <c r="J32" i="9"/>
  <c r="H32" i="9"/>
  <c r="AD10" i="9" s="1"/>
  <c r="F32" i="9"/>
  <c r="AD31" i="9"/>
  <c r="Z31" i="9"/>
  <c r="X31" i="9"/>
  <c r="AC26" i="9" s="1"/>
  <c r="W31" i="9"/>
  <c r="U31" i="9"/>
  <c r="AC23" i="9" s="1"/>
  <c r="Q31" i="9"/>
  <c r="M31" i="9"/>
  <c r="AC15" i="9" s="1"/>
  <c r="J31" i="9"/>
  <c r="K31" i="9" s="1"/>
  <c r="AC13" i="9" s="1"/>
  <c r="H31" i="9"/>
  <c r="F31" i="9"/>
  <c r="AC8" i="9" s="1"/>
  <c r="AD30" i="9"/>
  <c r="AC30" i="9"/>
  <c r="Z30" i="9"/>
  <c r="AB28" i="9" s="1"/>
  <c r="X30" i="9"/>
  <c r="AB26" i="9" s="1"/>
  <c r="W30" i="9"/>
  <c r="U30" i="9"/>
  <c r="Q30" i="9"/>
  <c r="M30" i="9"/>
  <c r="AB15" i="9" s="1"/>
  <c r="J30" i="9"/>
  <c r="H30" i="9"/>
  <c r="F30" i="9"/>
  <c r="AB8" i="9" s="1"/>
  <c r="AD29" i="9"/>
  <c r="AC29" i="9"/>
  <c r="AB29" i="9"/>
  <c r="Z29" i="9"/>
  <c r="X29" i="9"/>
  <c r="W29" i="9"/>
  <c r="AA25" i="9" s="1"/>
  <c r="U29" i="9"/>
  <c r="AA23" i="9" s="1"/>
  <c r="S29" i="9"/>
  <c r="Q29" i="9"/>
  <c r="M29" i="9"/>
  <c r="AA15" i="9" s="1"/>
  <c r="J29" i="9"/>
  <c r="K29" i="9" s="1"/>
  <c r="AA13" i="9" s="1"/>
  <c r="H29" i="9"/>
  <c r="F29" i="9"/>
  <c r="AA8" i="9" s="1"/>
  <c r="AD28" i="9"/>
  <c r="AC28" i="9"/>
  <c r="AA28" i="9"/>
  <c r="Z28" i="9"/>
  <c r="Y28" i="9"/>
  <c r="V28" i="9"/>
  <c r="U28" i="9"/>
  <c r="Z23" i="9" s="1"/>
  <c r="T28" i="9"/>
  <c r="R28" i="9"/>
  <c r="Q28" i="9"/>
  <c r="P28" i="9"/>
  <c r="O28" i="9"/>
  <c r="N28" i="9"/>
  <c r="M28" i="9"/>
  <c r="Z15" i="9" s="1"/>
  <c r="L28" i="9"/>
  <c r="J28" i="9"/>
  <c r="I28" i="9"/>
  <c r="Z11" i="9" s="1"/>
  <c r="G28" i="9"/>
  <c r="Z9" i="9" s="1"/>
  <c r="E28" i="9"/>
  <c r="Z7" i="9" s="1"/>
  <c r="D28" i="9"/>
  <c r="AD27" i="9"/>
  <c r="AC27" i="9"/>
  <c r="AB27" i="9"/>
  <c r="AA27" i="9"/>
  <c r="Z27" i="9"/>
  <c r="X27" i="9"/>
  <c r="X28" i="9" s="1"/>
  <c r="Z26" i="9" s="1"/>
  <c r="W27" i="9"/>
  <c r="Y25" i="9" s="1"/>
  <c r="U27" i="9"/>
  <c r="S27" i="9"/>
  <c r="Q27" i="9"/>
  <c r="M27" i="9"/>
  <c r="J27" i="9"/>
  <c r="K27" i="9" s="1"/>
  <c r="H27" i="9"/>
  <c r="H28" i="9" s="1"/>
  <c r="Z10" i="9" s="1"/>
  <c r="F27" i="9"/>
  <c r="AD26" i="9"/>
  <c r="AA26" i="9"/>
  <c r="Y26" i="9"/>
  <c r="X26" i="9"/>
  <c r="W26" i="9"/>
  <c r="U26" i="9"/>
  <c r="X23" i="9" s="1"/>
  <c r="T26" i="9"/>
  <c r="R26" i="9"/>
  <c r="Q26" i="9"/>
  <c r="X19" i="9" s="1"/>
  <c r="P26" i="9"/>
  <c r="O26" i="9"/>
  <c r="N26" i="9"/>
  <c r="M26" i="9"/>
  <c r="X15" i="9" s="1"/>
  <c r="L26" i="9"/>
  <c r="I26" i="9"/>
  <c r="X11" i="9" s="1"/>
  <c r="G26" i="9"/>
  <c r="X9" i="9" s="1"/>
  <c r="E26" i="9"/>
  <c r="X7" i="9" s="1"/>
  <c r="D26" i="9"/>
  <c r="J26" i="9" s="1"/>
  <c r="X12" i="9" s="1"/>
  <c r="AC25" i="9"/>
  <c r="AB25" i="9"/>
  <c r="X25" i="9"/>
  <c r="W25" i="9"/>
  <c r="T25" i="9"/>
  <c r="S25" i="9"/>
  <c r="W21" i="9" s="1"/>
  <c r="R25" i="9"/>
  <c r="Q25" i="9"/>
  <c r="W19" i="9" s="1"/>
  <c r="P25" i="9"/>
  <c r="O25" i="9"/>
  <c r="N25" i="9"/>
  <c r="M25" i="9"/>
  <c r="L25" i="9"/>
  <c r="K25" i="9"/>
  <c r="W13" i="9" s="1"/>
  <c r="J25" i="9"/>
  <c r="I25" i="9"/>
  <c r="W11" i="9" s="1"/>
  <c r="G25" i="9"/>
  <c r="F25" i="9"/>
  <c r="E25" i="9"/>
  <c r="W7" i="9" s="1"/>
  <c r="D25" i="9"/>
  <c r="AD24" i="9"/>
  <c r="AC24" i="9"/>
  <c r="AB24" i="9"/>
  <c r="AA24" i="9"/>
  <c r="Z24" i="9"/>
  <c r="Y24" i="9"/>
  <c r="W24" i="9"/>
  <c r="U24" i="9"/>
  <c r="S24" i="9"/>
  <c r="V21" i="9" s="1"/>
  <c r="Q24" i="9"/>
  <c r="V19" i="9" s="1"/>
  <c r="M24" i="9"/>
  <c r="K24" i="9"/>
  <c r="J24" i="9"/>
  <c r="H24" i="9"/>
  <c r="F24" i="9"/>
  <c r="AD23" i="9"/>
  <c r="AB23" i="9"/>
  <c r="Y23" i="9"/>
  <c r="V23" i="9"/>
  <c r="U23" i="9"/>
  <c r="P23" i="9"/>
  <c r="N23" i="9"/>
  <c r="M23" i="9"/>
  <c r="U15" i="9" s="1"/>
  <c r="L23" i="9"/>
  <c r="I23" i="9"/>
  <c r="U11" i="9" s="1"/>
  <c r="G23" i="9"/>
  <c r="U9" i="9" s="1"/>
  <c r="E23" i="9"/>
  <c r="D23" i="9"/>
  <c r="AD22" i="9"/>
  <c r="AC22" i="9"/>
  <c r="AB22" i="9"/>
  <c r="AA22" i="9"/>
  <c r="Z22" i="9"/>
  <c r="Y22" i="9"/>
  <c r="X22" i="9"/>
  <c r="W22" i="9"/>
  <c r="V22" i="9"/>
  <c r="V26" i="9" s="1"/>
  <c r="X24" i="9" s="1"/>
  <c r="S22" i="9"/>
  <c r="Q22" i="9"/>
  <c r="M22" i="9"/>
  <c r="T15" i="9" s="1"/>
  <c r="J22" i="9"/>
  <c r="H22" i="9"/>
  <c r="H26" i="9" s="1"/>
  <c r="X10" i="9" s="1"/>
  <c r="F22" i="9"/>
  <c r="F26" i="9" s="1"/>
  <c r="AC21" i="9"/>
  <c r="AB21" i="9"/>
  <c r="AA21" i="9"/>
  <c r="S21" i="9"/>
  <c r="R21" i="9"/>
  <c r="P21" i="9"/>
  <c r="O21" i="9"/>
  <c r="S17" i="9" s="1"/>
  <c r="S23" i="9" s="1"/>
  <c r="U21" i="9" s="1"/>
  <c r="N21" i="9"/>
  <c r="M21" i="9"/>
  <c r="S15" i="9" s="1"/>
  <c r="L21" i="9"/>
  <c r="K21" i="9"/>
  <c r="S13" i="9" s="1"/>
  <c r="I21" i="9"/>
  <c r="G21" i="9"/>
  <c r="E21" i="9"/>
  <c r="S7" i="9" s="1"/>
  <c r="D21" i="9"/>
  <c r="J21" i="9" s="1"/>
  <c r="AD20" i="9"/>
  <c r="AC20" i="9"/>
  <c r="AB20" i="9"/>
  <c r="AA20" i="9"/>
  <c r="Z20" i="9"/>
  <c r="Y20" i="9"/>
  <c r="X20" i="9"/>
  <c r="W20" i="9"/>
  <c r="V20" i="9"/>
  <c r="T20" i="9"/>
  <c r="S20" i="9"/>
  <c r="Q20" i="9"/>
  <c r="M20" i="9"/>
  <c r="K20" i="9"/>
  <c r="J20" i="9"/>
  <c r="H20" i="9"/>
  <c r="H21" i="9" s="1"/>
  <c r="S10" i="9" s="1"/>
  <c r="F20" i="9"/>
  <c r="F21" i="9" s="1"/>
  <c r="S8" i="9" s="1"/>
  <c r="AD19" i="9"/>
  <c r="AC19" i="9"/>
  <c r="AB19" i="9"/>
  <c r="AA19" i="9"/>
  <c r="Z19" i="9"/>
  <c r="Y19" i="9"/>
  <c r="T19" i="9"/>
  <c r="O19" i="9"/>
  <c r="N19" i="9"/>
  <c r="Q16" i="9" s="1"/>
  <c r="L19" i="9"/>
  <c r="Q14" i="9" s="1"/>
  <c r="J19" i="9"/>
  <c r="Q12" i="9" s="1"/>
  <c r="I19" i="9"/>
  <c r="G19" i="9"/>
  <c r="F19" i="9"/>
  <c r="Q8" i="9" s="1"/>
  <c r="E19" i="9"/>
  <c r="D19" i="9"/>
  <c r="AD18" i="9"/>
  <c r="AC18" i="9"/>
  <c r="AB18" i="9"/>
  <c r="AA18" i="9"/>
  <c r="Z18" i="9"/>
  <c r="Y18" i="9"/>
  <c r="X18" i="9"/>
  <c r="W18" i="9"/>
  <c r="V18" i="9"/>
  <c r="U18" i="9"/>
  <c r="T18" i="9"/>
  <c r="S18" i="9"/>
  <c r="R18" i="9"/>
  <c r="Q18" i="9"/>
  <c r="M18" i="9"/>
  <c r="M19" i="9" s="1"/>
  <c r="K18" i="9"/>
  <c r="K19" i="9" s="1"/>
  <c r="Q13" i="9" s="1"/>
  <c r="J18" i="9"/>
  <c r="P12" i="9" s="1"/>
  <c r="H18" i="9"/>
  <c r="H19" i="9" s="1"/>
  <c r="Q10" i="9" s="1"/>
  <c r="F18" i="9"/>
  <c r="AD17" i="9"/>
  <c r="AC17" i="9"/>
  <c r="AB17" i="9"/>
  <c r="AA17" i="9"/>
  <c r="Z17" i="9"/>
  <c r="Y17" i="9"/>
  <c r="X17" i="9"/>
  <c r="V17" i="9"/>
  <c r="U17" i="9"/>
  <c r="T17" i="9"/>
  <c r="T23" i="9" s="1"/>
  <c r="U22" i="9" s="1"/>
  <c r="R17" i="9"/>
  <c r="R23" i="9" s="1"/>
  <c r="U20" i="9" s="1"/>
  <c r="Q17" i="9"/>
  <c r="Q23" i="9" s="1"/>
  <c r="U19" i="9" s="1"/>
  <c r="P17" i="9"/>
  <c r="M17" i="9"/>
  <c r="K17" i="9"/>
  <c r="J17" i="9"/>
  <c r="J23" i="9" s="1"/>
  <c r="H17" i="9"/>
  <c r="F17" i="9"/>
  <c r="F23" i="9" s="1"/>
  <c r="U8" i="9" s="1"/>
  <c r="AD16" i="9"/>
  <c r="AC16" i="9"/>
  <c r="AB16" i="9"/>
  <c r="AA16" i="9"/>
  <c r="Z16" i="9"/>
  <c r="Y16" i="9"/>
  <c r="X16" i="9"/>
  <c r="W16" i="9"/>
  <c r="V16" i="9"/>
  <c r="U16" i="9"/>
  <c r="T16" i="9"/>
  <c r="S16" i="9"/>
  <c r="R16" i="9"/>
  <c r="P16" i="9"/>
  <c r="O16" i="9"/>
  <c r="M16" i="9"/>
  <c r="N15" i="9" s="1"/>
  <c r="J16" i="9"/>
  <c r="H16" i="9"/>
  <c r="F16" i="9"/>
  <c r="AD15" i="9"/>
  <c r="Y15" i="9"/>
  <c r="W15" i="9"/>
  <c r="V15" i="9"/>
  <c r="R15" i="9"/>
  <c r="Q15" i="9"/>
  <c r="P15" i="9"/>
  <c r="O15" i="9"/>
  <c r="M15" i="9"/>
  <c r="J15" i="9"/>
  <c r="I15" i="9"/>
  <c r="G15" i="9"/>
  <c r="E15" i="9"/>
  <c r="M7" i="9" s="1"/>
  <c r="D15" i="9"/>
  <c r="AD14" i="9"/>
  <c r="AC14" i="9"/>
  <c r="AB14" i="9"/>
  <c r="AA14" i="9"/>
  <c r="Z14" i="9"/>
  <c r="Y14" i="9"/>
  <c r="X14" i="9"/>
  <c r="W14" i="9"/>
  <c r="V14" i="9"/>
  <c r="U14" i="9"/>
  <c r="T14" i="9"/>
  <c r="S14" i="9"/>
  <c r="R14" i="9"/>
  <c r="P14" i="9"/>
  <c r="O14" i="9"/>
  <c r="N14" i="9"/>
  <c r="K14" i="9"/>
  <c r="J14" i="9"/>
  <c r="H14" i="9"/>
  <c r="L10" i="9" s="1"/>
  <c r="F14" i="9"/>
  <c r="V13" i="9"/>
  <c r="R13" i="9"/>
  <c r="P13" i="9"/>
  <c r="L13" i="9"/>
  <c r="J13" i="9"/>
  <c r="K12" i="9" s="1"/>
  <c r="D13" i="9"/>
  <c r="K6" i="9" s="1"/>
  <c r="AD12" i="9"/>
  <c r="AC12" i="9"/>
  <c r="AA12" i="9"/>
  <c r="Z12" i="9"/>
  <c r="W12" i="9"/>
  <c r="V12" i="9"/>
  <c r="U12" i="9"/>
  <c r="S12" i="9"/>
  <c r="R12" i="9"/>
  <c r="O12" i="9"/>
  <c r="M12" i="9"/>
  <c r="L12" i="9"/>
  <c r="J12" i="9"/>
  <c r="K13" i="9" s="1"/>
  <c r="I12" i="9"/>
  <c r="G12" i="9"/>
  <c r="AD11" i="9"/>
  <c r="AC11" i="9"/>
  <c r="AB11" i="9"/>
  <c r="AA11" i="9"/>
  <c r="Y11" i="9"/>
  <c r="V11" i="9"/>
  <c r="T11" i="9"/>
  <c r="S11" i="9"/>
  <c r="R11" i="9"/>
  <c r="Q11" i="9"/>
  <c r="P11" i="9"/>
  <c r="O11" i="9"/>
  <c r="N11" i="9"/>
  <c r="M11" i="9"/>
  <c r="L11" i="9"/>
  <c r="L15" i="9" s="1"/>
  <c r="M14" i="9" s="1"/>
  <c r="H11" i="9"/>
  <c r="F11" i="9"/>
  <c r="F15" i="9" s="1"/>
  <c r="M8" i="9" s="1"/>
  <c r="AC10" i="9"/>
  <c r="AB10" i="9"/>
  <c r="AA10" i="9"/>
  <c r="Y10" i="9"/>
  <c r="T10" i="9"/>
  <c r="P10" i="9"/>
  <c r="N10" i="9"/>
  <c r="J10" i="9"/>
  <c r="H10" i="9"/>
  <c r="G10" i="9"/>
  <c r="H9" i="9" s="1"/>
  <c r="F10" i="9"/>
  <c r="H8" i="9" s="1"/>
  <c r="E10" i="9"/>
  <c r="D10" i="9"/>
  <c r="H6" i="9" s="1"/>
  <c r="H12" i="9" s="1"/>
  <c r="H13" i="9" s="1"/>
  <c r="K10" i="9" s="1"/>
  <c r="AD9" i="9"/>
  <c r="AC9" i="9"/>
  <c r="AB9" i="9"/>
  <c r="AA9" i="9"/>
  <c r="Y9" i="9"/>
  <c r="W9" i="9"/>
  <c r="V9" i="9"/>
  <c r="T9" i="9"/>
  <c r="S9" i="9"/>
  <c r="R9" i="9"/>
  <c r="Q9" i="9"/>
  <c r="P9" i="9"/>
  <c r="O9" i="9"/>
  <c r="N9" i="9"/>
  <c r="M9" i="9"/>
  <c r="L9" i="9"/>
  <c r="I9" i="9"/>
  <c r="AD8" i="9"/>
  <c r="X8" i="9"/>
  <c r="W8" i="9"/>
  <c r="V8" i="9"/>
  <c r="T8" i="9"/>
  <c r="R8" i="9"/>
  <c r="P8" i="9"/>
  <c r="O8" i="9"/>
  <c r="N8" i="9"/>
  <c r="L8" i="9"/>
  <c r="J8" i="9"/>
  <c r="I8" i="9"/>
  <c r="G8" i="9"/>
  <c r="F8" i="9"/>
  <c r="E8" i="9"/>
  <c r="F7" i="9" s="1"/>
  <c r="D8" i="9"/>
  <c r="AD7" i="9"/>
  <c r="AC7" i="9"/>
  <c r="AB7" i="9"/>
  <c r="AA7" i="9"/>
  <c r="Y7" i="9"/>
  <c r="V7" i="9"/>
  <c r="U7" i="9"/>
  <c r="T7" i="9"/>
  <c r="R7" i="9"/>
  <c r="Q7" i="9"/>
  <c r="P7" i="9"/>
  <c r="O7" i="9"/>
  <c r="N7" i="9"/>
  <c r="L7" i="9"/>
  <c r="I7" i="9"/>
  <c r="H7" i="9"/>
  <c r="G7" i="9"/>
  <c r="AD6" i="9"/>
  <c r="AC6" i="9"/>
  <c r="AB6" i="9"/>
  <c r="AA6" i="9"/>
  <c r="Z6" i="9"/>
  <c r="Y6" i="9"/>
  <c r="X6" i="9"/>
  <c r="W6" i="9"/>
  <c r="V6" i="9"/>
  <c r="U6" i="9"/>
  <c r="T6" i="9"/>
  <c r="S6" i="9"/>
  <c r="R6" i="9"/>
  <c r="Q6" i="9"/>
  <c r="P6" i="9"/>
  <c r="O6" i="9"/>
  <c r="N6" i="9"/>
  <c r="M6" i="9"/>
  <c r="L6" i="9"/>
  <c r="J6" i="9"/>
  <c r="I6" i="9"/>
  <c r="G6" i="9"/>
  <c r="F6" i="9"/>
  <c r="F12" i="9" s="1"/>
  <c r="F13" i="9" s="1"/>
  <c r="K8" i="9" s="1"/>
  <c r="E6" i="9"/>
  <c r="E12" i="9" s="1"/>
  <c r="AD5" i="9"/>
  <c r="AC5" i="9"/>
  <c r="AB5" i="9"/>
  <c r="AA5" i="9"/>
  <c r="Z5" i="9"/>
  <c r="Y5" i="9"/>
  <c r="X5" i="9"/>
  <c r="W5" i="9"/>
  <c r="V5" i="9"/>
  <c r="U5" i="9"/>
  <c r="T5" i="9"/>
  <c r="S5" i="9"/>
  <c r="R5" i="9"/>
  <c r="Q5" i="9"/>
  <c r="P5" i="9"/>
  <c r="O5" i="9"/>
  <c r="N5" i="9"/>
  <c r="M5" i="9"/>
  <c r="L5" i="9"/>
  <c r="K5" i="9"/>
  <c r="J5" i="9"/>
  <c r="I5" i="9"/>
  <c r="H5" i="9"/>
  <c r="G5" i="9"/>
  <c r="F5" i="9"/>
  <c r="E5" i="9"/>
  <c r="D5" i="9"/>
  <c r="AB218" i="4"/>
  <c r="AA218" i="4"/>
  <c r="Z218" i="4"/>
  <c r="W218" i="4"/>
  <c r="AD218" i="4" s="1"/>
  <c r="U218" i="4"/>
  <c r="V218" i="4" s="1"/>
  <c r="AB217" i="4"/>
  <c r="AA217" i="4"/>
  <c r="Z217" i="4"/>
  <c r="W217" i="4"/>
  <c r="AD217" i="4" s="1"/>
  <c r="AD219" i="4" s="1"/>
  <c r="U217" i="4"/>
  <c r="AU213" i="4"/>
  <c r="AM213" i="4"/>
  <c r="AD213" i="4"/>
  <c r="AD208" i="4"/>
  <c r="AB208" i="4"/>
  <c r="AA208" i="4"/>
  <c r="Z208" i="4"/>
  <c r="W208" i="4"/>
  <c r="U208" i="4"/>
  <c r="V208" i="4" s="1"/>
  <c r="AB207" i="4"/>
  <c r="AA207" i="4"/>
  <c r="Z207" i="4"/>
  <c r="W207" i="4"/>
  <c r="AD207" i="4" s="1"/>
  <c r="AD209" i="4" s="1"/>
  <c r="U207" i="4"/>
  <c r="AM203" i="4"/>
  <c r="AD203" i="4"/>
  <c r="AB203" i="4"/>
  <c r="AB204" i="4" s="1"/>
  <c r="AD198" i="4"/>
  <c r="AB198" i="4"/>
  <c r="AA198" i="4"/>
  <c r="Z198" i="4"/>
  <c r="W198" i="4"/>
  <c r="U198" i="4"/>
  <c r="V198" i="4" s="1"/>
  <c r="AB197" i="4"/>
  <c r="AA197" i="4"/>
  <c r="Z197" i="4"/>
  <c r="W197" i="4"/>
  <c r="AD197" i="4" s="1"/>
  <c r="AD199" i="4" s="1"/>
  <c r="U197" i="4"/>
  <c r="AN193" i="4"/>
  <c r="AN194" i="4" s="1"/>
  <c r="AM193" i="4"/>
  <c r="AB193" i="4"/>
  <c r="AD188" i="4"/>
  <c r="AB188" i="4"/>
  <c r="AA188" i="4"/>
  <c r="Z188" i="4"/>
  <c r="W188" i="4"/>
  <c r="U188" i="4"/>
  <c r="V188" i="4" s="1"/>
  <c r="AB187" i="4"/>
  <c r="AA187" i="4"/>
  <c r="Z187" i="4"/>
  <c r="W187" i="4"/>
  <c r="AD187" i="4" s="1"/>
  <c r="AD189" i="4" s="1"/>
  <c r="U187" i="4"/>
  <c r="AN183" i="4"/>
  <c r="AN184" i="4" s="1"/>
  <c r="AM183" i="4"/>
  <c r="AE183" i="4"/>
  <c r="X183" i="4"/>
  <c r="W183" i="4"/>
  <c r="AD178" i="4"/>
  <c r="AB178" i="4"/>
  <c r="AA178" i="4"/>
  <c r="Z178" i="4"/>
  <c r="W178" i="4"/>
  <c r="U178" i="4"/>
  <c r="V178" i="4" s="1"/>
  <c r="AB177" i="4"/>
  <c r="AA177" i="4"/>
  <c r="Z177" i="4"/>
  <c r="W177" i="4"/>
  <c r="AD177" i="4" s="1"/>
  <c r="AD179" i="4" s="1"/>
  <c r="U177" i="4"/>
  <c r="AU174" i="4"/>
  <c r="AU173" i="4"/>
  <c r="AT173" i="4"/>
  <c r="AM173" i="4"/>
  <c r="AH173" i="4"/>
  <c r="AE173" i="4"/>
  <c r="AD168" i="4"/>
  <c r="AB168" i="4"/>
  <c r="AA168" i="4"/>
  <c r="Z168" i="4"/>
  <c r="W168" i="4"/>
  <c r="U168" i="4"/>
  <c r="V168" i="4" s="1"/>
  <c r="AB167" i="4"/>
  <c r="AA167" i="4"/>
  <c r="Z167" i="4"/>
  <c r="W167" i="4"/>
  <c r="AD167" i="4" s="1"/>
  <c r="U167" i="4"/>
  <c r="AU164" i="4"/>
  <c r="AK164" i="4"/>
  <c r="AG164" i="4"/>
  <c r="AP163" i="4"/>
  <c r="AL163" i="4"/>
  <c r="AL164" i="4" s="1"/>
  <c r="AK163" i="4"/>
  <c r="AG163" i="4"/>
  <c r="AF163" i="4"/>
  <c r="AB163" i="4"/>
  <c r="U163" i="4"/>
  <c r="AB158" i="4"/>
  <c r="AA158" i="4"/>
  <c r="Z158" i="4"/>
  <c r="W158" i="4"/>
  <c r="AD158" i="4" s="1"/>
  <c r="V158" i="4"/>
  <c r="U158" i="4"/>
  <c r="AB157" i="4"/>
  <c r="AA157" i="4"/>
  <c r="Z157" i="4"/>
  <c r="W157" i="4"/>
  <c r="AD157" i="4" s="1"/>
  <c r="AD159" i="4" s="1"/>
  <c r="U157" i="4"/>
  <c r="AS154" i="4"/>
  <c r="AS153" i="4"/>
  <c r="AO153" i="4"/>
  <c r="AN153" i="4"/>
  <c r="AD153" i="4"/>
  <c r="AD154" i="4" s="1"/>
  <c r="AC153" i="4"/>
  <c r="Y153" i="4"/>
  <c r="AD149" i="4"/>
  <c r="AB148" i="4"/>
  <c r="AA148" i="4"/>
  <c r="Z148" i="4"/>
  <c r="W148" i="4"/>
  <c r="AD148" i="4" s="1"/>
  <c r="V148" i="4"/>
  <c r="U148" i="4"/>
  <c r="AD147" i="4"/>
  <c r="AB147" i="4"/>
  <c r="AA147" i="4"/>
  <c r="Z147" i="4"/>
  <c r="W147" i="4"/>
  <c r="U147" i="4"/>
  <c r="AK144" i="4"/>
  <c r="AS143" i="4"/>
  <c r="AR143" i="4"/>
  <c r="AK143" i="4"/>
  <c r="AG143" i="4"/>
  <c r="AC143" i="4"/>
  <c r="AB143" i="4"/>
  <c r="Z143" i="4"/>
  <c r="Z144" i="4" s="1"/>
  <c r="U143" i="4"/>
  <c r="AB138" i="4"/>
  <c r="Z138" i="4"/>
  <c r="W138" i="4"/>
  <c r="AD138" i="4" s="1"/>
  <c r="V138" i="4"/>
  <c r="U138" i="4"/>
  <c r="AB137" i="4"/>
  <c r="AA137" i="4"/>
  <c r="Z137" i="4"/>
  <c r="W137" i="4"/>
  <c r="AD137" i="4" s="1"/>
  <c r="U137" i="4"/>
  <c r="AS134" i="4"/>
  <c r="AO134" i="4"/>
  <c r="AD134" i="4"/>
  <c r="Y134" i="4"/>
  <c r="AT133" i="4"/>
  <c r="AT134" i="4" s="1"/>
  <c r="AS133" i="4"/>
  <c r="AO133" i="4"/>
  <c r="AN133" i="4"/>
  <c r="AK133" i="4"/>
  <c r="AD133" i="4"/>
  <c r="AD135" i="4" s="1"/>
  <c r="AC133" i="4"/>
  <c r="Y133" i="4"/>
  <c r="U133" i="4"/>
  <c r="AD129" i="4"/>
  <c r="AB128" i="4"/>
  <c r="Z128" i="4"/>
  <c r="W128" i="4"/>
  <c r="AD128" i="4" s="1"/>
  <c r="V128" i="4"/>
  <c r="U128" i="4"/>
  <c r="AD127" i="4"/>
  <c r="AB127" i="4"/>
  <c r="AA127" i="4"/>
  <c r="Z127" i="4"/>
  <c r="W127" i="4"/>
  <c r="U127" i="4"/>
  <c r="AK124" i="4"/>
  <c r="Z124" i="4"/>
  <c r="AS123" i="4"/>
  <c r="AR123" i="4"/>
  <c r="AK123" i="4"/>
  <c r="AG123" i="4"/>
  <c r="AC123" i="4"/>
  <c r="AB123" i="4"/>
  <c r="Z123" i="4"/>
  <c r="U123" i="4"/>
  <c r="AB118" i="4"/>
  <c r="Z118" i="4"/>
  <c r="W118" i="4"/>
  <c r="AD118" i="4" s="1"/>
  <c r="V118" i="4"/>
  <c r="U118" i="4"/>
  <c r="AB117" i="4"/>
  <c r="AA117" i="4"/>
  <c r="Z117" i="4"/>
  <c r="W117" i="4"/>
  <c r="AD117" i="4" s="1"/>
  <c r="AD119" i="4" s="1"/>
  <c r="U117" i="4"/>
  <c r="AT114" i="4"/>
  <c r="AO114" i="4"/>
  <c r="AC114" i="4"/>
  <c r="Y114" i="4"/>
  <c r="U114" i="4"/>
  <c r="AT113" i="4"/>
  <c r="AS113" i="4"/>
  <c r="AO113" i="4"/>
  <c r="AN113" i="4"/>
  <c r="AK113" i="4"/>
  <c r="AF113" i="4"/>
  <c r="AD113" i="4"/>
  <c r="AC113" i="4"/>
  <c r="Y113" i="4"/>
  <c r="X113" i="4"/>
  <c r="U113" i="4"/>
  <c r="AB108" i="4"/>
  <c r="Z108" i="4"/>
  <c r="W108" i="4"/>
  <c r="AD108" i="4" s="1"/>
  <c r="V108" i="4"/>
  <c r="U108" i="4"/>
  <c r="AD107" i="4"/>
  <c r="AD109" i="4" s="1"/>
  <c r="AB107" i="4"/>
  <c r="Z107" i="4"/>
  <c r="W107" i="4"/>
  <c r="U107" i="4"/>
  <c r="AG104" i="4"/>
  <c r="Z104" i="4"/>
  <c r="U104" i="4"/>
  <c r="AT103" i="4"/>
  <c r="AO103" i="4"/>
  <c r="AL103" i="4"/>
  <c r="AK103" i="4"/>
  <c r="AG103" i="4"/>
  <c r="AF103" i="4"/>
  <c r="Z103" i="4"/>
  <c r="Z105" i="4" s="1"/>
  <c r="Y103" i="4"/>
  <c r="U103"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A28" i="4"/>
  <c r="AU163" i="4" s="1"/>
  <c r="C27" i="4"/>
  <c r="A27" i="4"/>
  <c r="C26" i="4"/>
  <c r="A26" i="4"/>
  <c r="AS163" i="4" s="1"/>
  <c r="C25" i="4"/>
  <c r="A25" i="4"/>
  <c r="C24" i="4"/>
  <c r="A24" i="4"/>
  <c r="C23" i="4"/>
  <c r="A23" i="4"/>
  <c r="C22" i="4"/>
  <c r="A22" i="4"/>
  <c r="C21" i="4"/>
  <c r="A21" i="4"/>
  <c r="C20" i="4"/>
  <c r="A20" i="4"/>
  <c r="C19" i="4"/>
  <c r="A19" i="4"/>
  <c r="C18" i="4"/>
  <c r="A18" i="4"/>
  <c r="AK153" i="4" s="1"/>
  <c r="C17" i="4"/>
  <c r="A17" i="4"/>
  <c r="C16" i="4"/>
  <c r="A16" i="4"/>
  <c r="AI173" i="4" s="1"/>
  <c r="C15" i="4"/>
  <c r="A15" i="4"/>
  <c r="C14" i="4"/>
  <c r="A14" i="4"/>
  <c r="C13" i="4"/>
  <c r="A13" i="4"/>
  <c r="C12" i="4"/>
  <c r="A12" i="4"/>
  <c r="C11" i="4"/>
  <c r="A11" i="4"/>
  <c r="C10" i="4"/>
  <c r="A10" i="4"/>
  <c r="AC163" i="4" s="1"/>
  <c r="C9" i="4"/>
  <c r="A9" i="4"/>
  <c r="C8" i="4"/>
  <c r="A8" i="4"/>
  <c r="C7" i="4"/>
  <c r="A7" i="4"/>
  <c r="C6" i="4"/>
  <c r="A6" i="4"/>
  <c r="C5" i="4"/>
  <c r="A5" i="4"/>
  <c r="C4" i="4"/>
  <c r="A4" i="4"/>
  <c r="W213" i="4" s="1"/>
  <c r="C3" i="4"/>
  <c r="A3" i="4"/>
  <c r="C2" i="4"/>
  <c r="A2" i="4"/>
  <c r="U153" i="4" s="1"/>
  <c r="X176" i="3"/>
  <c r="W176" i="3"/>
  <c r="V176" i="3"/>
  <c r="U176" i="3"/>
  <c r="X175" i="3"/>
  <c r="W175" i="3"/>
  <c r="V175" i="3"/>
  <c r="U175" i="3"/>
  <c r="X174" i="3"/>
  <c r="W174" i="3"/>
  <c r="V174" i="3"/>
  <c r="U174" i="3"/>
  <c r="X173" i="3"/>
  <c r="W173" i="3"/>
  <c r="V173" i="3"/>
  <c r="U173" i="3"/>
  <c r="X172" i="3"/>
  <c r="W172" i="3"/>
  <c r="V172" i="3"/>
  <c r="U172" i="3"/>
  <c r="X171" i="3"/>
  <c r="W171" i="3"/>
  <c r="V171" i="3"/>
  <c r="U171" i="3"/>
  <c r="X170" i="3"/>
  <c r="W170" i="3"/>
  <c r="V170" i="3"/>
  <c r="U170" i="3"/>
  <c r="X169" i="3"/>
  <c r="W169" i="3"/>
  <c r="V169" i="3"/>
  <c r="U169" i="3"/>
  <c r="X168" i="3"/>
  <c r="W168" i="3"/>
  <c r="V168" i="3"/>
  <c r="X167" i="3"/>
  <c r="W167" i="3"/>
  <c r="V167" i="3"/>
  <c r="X166" i="3"/>
  <c r="W166" i="3"/>
  <c r="V166" i="3"/>
  <c r="X165" i="3"/>
  <c r="W165" i="3"/>
  <c r="V165" i="3"/>
  <c r="X161" i="3"/>
  <c r="W161" i="3"/>
  <c r="V161" i="3"/>
  <c r="U161" i="3"/>
  <c r="X160" i="3"/>
  <c r="W160" i="3"/>
  <c r="V160" i="3"/>
  <c r="U160" i="3"/>
  <c r="X159" i="3"/>
  <c r="W159" i="3"/>
  <c r="V159" i="3"/>
  <c r="U159" i="3"/>
  <c r="X158" i="3"/>
  <c r="W158" i="3"/>
  <c r="V158" i="3"/>
  <c r="U158" i="3"/>
  <c r="X157" i="3"/>
  <c r="W157" i="3"/>
  <c r="V157" i="3"/>
  <c r="U157" i="3"/>
  <c r="X156" i="3"/>
  <c r="W156" i="3"/>
  <c r="V156" i="3"/>
  <c r="U156" i="3"/>
  <c r="X155" i="3"/>
  <c r="W155" i="3"/>
  <c r="V155" i="3"/>
  <c r="U155" i="3"/>
  <c r="X154" i="3"/>
  <c r="W154" i="3"/>
  <c r="V154" i="3"/>
  <c r="U154" i="3"/>
  <c r="X153" i="3"/>
  <c r="W153" i="3"/>
  <c r="V153" i="3"/>
  <c r="X152" i="3"/>
  <c r="AB149" i="3" s="1"/>
  <c r="W152" i="3"/>
  <c r="V152" i="3"/>
  <c r="X151" i="3"/>
  <c r="W151" i="3"/>
  <c r="V151" i="3"/>
  <c r="X150" i="3"/>
  <c r="W150" i="3"/>
  <c r="V150" i="3"/>
  <c r="AB157" i="3" s="1"/>
  <c r="X146" i="3"/>
  <c r="W146" i="3"/>
  <c r="V146" i="3"/>
  <c r="U146" i="3"/>
  <c r="X145" i="3"/>
  <c r="W145" i="3"/>
  <c r="V145" i="3"/>
  <c r="U145" i="3"/>
  <c r="X144" i="3"/>
  <c r="W144" i="3"/>
  <c r="V144" i="3"/>
  <c r="U144" i="3"/>
  <c r="X143" i="3"/>
  <c r="W143" i="3"/>
  <c r="V143" i="3"/>
  <c r="U143" i="3"/>
  <c r="X142" i="3"/>
  <c r="W142" i="3"/>
  <c r="V142" i="3"/>
  <c r="U142" i="3"/>
  <c r="X141" i="3"/>
  <c r="W141" i="3"/>
  <c r="V141" i="3"/>
  <c r="U141" i="3"/>
  <c r="X140" i="3"/>
  <c r="W140" i="3"/>
  <c r="V140" i="3"/>
  <c r="U140" i="3"/>
  <c r="X139" i="3"/>
  <c r="W139" i="3"/>
  <c r="V139" i="3"/>
  <c r="U139" i="3"/>
  <c r="X138" i="3"/>
  <c r="W138" i="3"/>
  <c r="V138" i="3"/>
  <c r="X137" i="3"/>
  <c r="W137" i="3"/>
  <c r="V137" i="3"/>
  <c r="X136" i="3"/>
  <c r="W136" i="3"/>
  <c r="V136" i="3"/>
  <c r="X135" i="3"/>
  <c r="W135" i="3"/>
  <c r="V135" i="3"/>
  <c r="X131" i="3"/>
  <c r="W131" i="3"/>
  <c r="V131" i="3"/>
  <c r="U131" i="3"/>
  <c r="X130" i="3"/>
  <c r="W130" i="3"/>
  <c r="V130" i="3"/>
  <c r="U130" i="3"/>
  <c r="X129" i="3"/>
  <c r="W129" i="3"/>
  <c r="V129" i="3"/>
  <c r="U129" i="3"/>
  <c r="X128" i="3"/>
  <c r="W128" i="3"/>
  <c r="V128" i="3"/>
  <c r="U128" i="3"/>
  <c r="X127" i="3"/>
  <c r="W127" i="3"/>
  <c r="V127" i="3"/>
  <c r="U127" i="3"/>
  <c r="X126" i="3"/>
  <c r="W126" i="3"/>
  <c r="V126" i="3"/>
  <c r="U126" i="3"/>
  <c r="X125" i="3"/>
  <c r="W125" i="3"/>
  <c r="V125" i="3"/>
  <c r="U125" i="3"/>
  <c r="X124" i="3"/>
  <c r="W124" i="3"/>
  <c r="V124" i="3"/>
  <c r="U124" i="3"/>
  <c r="X123" i="3"/>
  <c r="W123" i="3"/>
  <c r="V123" i="3"/>
  <c r="X122" i="3"/>
  <c r="W122" i="3"/>
  <c r="V122" i="3"/>
  <c r="X121" i="3"/>
  <c r="W121" i="3"/>
  <c r="V121" i="3"/>
  <c r="X120" i="3"/>
  <c r="W120" i="3"/>
  <c r="V120" i="3"/>
  <c r="X116" i="3"/>
  <c r="W116" i="3"/>
  <c r="V116" i="3"/>
  <c r="U116" i="3"/>
  <c r="X115" i="3"/>
  <c r="W115" i="3"/>
  <c r="V115" i="3"/>
  <c r="U115" i="3"/>
  <c r="X114" i="3"/>
  <c r="W114" i="3"/>
  <c r="V114" i="3"/>
  <c r="U114" i="3"/>
  <c r="X113" i="3"/>
  <c r="W113" i="3"/>
  <c r="V113" i="3"/>
  <c r="U113" i="3"/>
  <c r="X112" i="3"/>
  <c r="W112" i="3"/>
  <c r="V112" i="3"/>
  <c r="U112" i="3"/>
  <c r="X111" i="3"/>
  <c r="W111" i="3"/>
  <c r="V111" i="3"/>
  <c r="U111" i="3"/>
  <c r="X110" i="3"/>
  <c r="W110" i="3"/>
  <c r="V110" i="3"/>
  <c r="U110" i="3"/>
  <c r="X109" i="3"/>
  <c r="W109" i="3"/>
  <c r="V109" i="3"/>
  <c r="U109" i="3"/>
  <c r="X108" i="3"/>
  <c r="W108" i="3"/>
  <c r="V108" i="3"/>
  <c r="X107" i="3"/>
  <c r="W107" i="3"/>
  <c r="V107" i="3"/>
  <c r="X106" i="3"/>
  <c r="W106" i="3"/>
  <c r="V106" i="3"/>
  <c r="X105" i="3"/>
  <c r="W105" i="3"/>
  <c r="V105"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A28" i="3"/>
  <c r="C27" i="3"/>
  <c r="A27" i="3"/>
  <c r="C26" i="3"/>
  <c r="A26" i="3"/>
  <c r="C25" i="3"/>
  <c r="A25" i="3"/>
  <c r="C24" i="3"/>
  <c r="A24" i="3"/>
  <c r="C23" i="3"/>
  <c r="A23" i="3"/>
  <c r="C22" i="3"/>
  <c r="A22" i="3"/>
  <c r="C21" i="3"/>
  <c r="A21" i="3"/>
  <c r="C20" i="3"/>
  <c r="A20" i="3"/>
  <c r="C19" i="3"/>
  <c r="A19" i="3"/>
  <c r="C18" i="3"/>
  <c r="A18" i="3"/>
  <c r="C17" i="3"/>
  <c r="A17" i="3"/>
  <c r="C16" i="3"/>
  <c r="A16" i="3"/>
  <c r="C15" i="3"/>
  <c r="A15" i="3"/>
  <c r="C14" i="3"/>
  <c r="A14" i="3"/>
  <c r="C13" i="3"/>
  <c r="A13" i="3"/>
  <c r="C12" i="3"/>
  <c r="A12" i="3"/>
  <c r="C11" i="3"/>
  <c r="A11" i="3"/>
  <c r="C10" i="3"/>
  <c r="A10" i="3"/>
  <c r="C9" i="3"/>
  <c r="A9" i="3"/>
  <c r="C8" i="3"/>
  <c r="A8" i="3"/>
  <c r="C7" i="3"/>
  <c r="A7" i="3"/>
  <c r="C6" i="3"/>
  <c r="A6" i="3"/>
  <c r="C5" i="3"/>
  <c r="A5" i="3"/>
  <c r="C4" i="3"/>
  <c r="A4" i="3"/>
  <c r="C3" i="3"/>
  <c r="A3" i="3"/>
  <c r="C2" i="3"/>
  <c r="A2" i="3"/>
  <c r="AB133" i="2"/>
  <c r="Z133" i="2"/>
  <c r="W133" i="2"/>
  <c r="AD133" i="2" s="1"/>
  <c r="AD134" i="2" s="1"/>
  <c r="U133" i="2"/>
  <c r="V133" i="2" s="1"/>
  <c r="AD132" i="2"/>
  <c r="AB132" i="2"/>
  <c r="AA132" i="2"/>
  <c r="Z132" i="2"/>
  <c r="W132" i="2"/>
  <c r="U132" i="2"/>
  <c r="AT129" i="2"/>
  <c r="AP129" i="2"/>
  <c r="AL129" i="2"/>
  <c r="AH129" i="2"/>
  <c r="AD129" i="2"/>
  <c r="Z129" i="2"/>
  <c r="V129" i="2"/>
  <c r="AT128" i="2"/>
  <c r="AT130" i="2" s="1"/>
  <c r="AP128" i="2"/>
  <c r="AP130" i="2" s="1"/>
  <c r="AL128" i="2"/>
  <c r="AL130" i="2" s="1"/>
  <c r="AH128" i="2"/>
  <c r="AD128" i="2"/>
  <c r="AD130" i="2" s="1"/>
  <c r="Z128" i="2"/>
  <c r="Z130" i="2" s="1"/>
  <c r="V128" i="2"/>
  <c r="V130" i="2" s="1"/>
  <c r="AB123" i="2"/>
  <c r="Z123" i="2"/>
  <c r="W123" i="2"/>
  <c r="AD123" i="2" s="1"/>
  <c r="AD124" i="2" s="1"/>
  <c r="U123" i="2"/>
  <c r="V123" i="2" s="1"/>
  <c r="AD122" i="2"/>
  <c r="AB122" i="2"/>
  <c r="Z122" i="2"/>
  <c r="W122" i="2"/>
  <c r="U122" i="2"/>
  <c r="AT119" i="2"/>
  <c r="AL119" i="2"/>
  <c r="AD119" i="2"/>
  <c r="Z119" i="2"/>
  <c r="V119" i="2"/>
  <c r="AT118" i="2"/>
  <c r="AT120" i="2" s="1"/>
  <c r="AP118" i="2"/>
  <c r="AL118" i="2"/>
  <c r="AL120" i="2" s="1"/>
  <c r="AH118" i="2"/>
  <c r="AD118" i="2"/>
  <c r="AD120" i="2" s="1"/>
  <c r="Z118" i="2"/>
  <c r="Z120" i="2" s="1"/>
  <c r="V118" i="2"/>
  <c r="V120" i="2" s="1"/>
  <c r="X116" i="2"/>
  <c r="W116" i="2"/>
  <c r="V116" i="2"/>
  <c r="U116" i="2"/>
  <c r="X115" i="2"/>
  <c r="W115" i="2"/>
  <c r="V115" i="2"/>
  <c r="U115" i="2"/>
  <c r="X114" i="2"/>
  <c r="W114" i="2"/>
  <c r="V114" i="2"/>
  <c r="U114" i="2"/>
  <c r="X113" i="2"/>
  <c r="W113" i="2"/>
  <c r="V113" i="2"/>
  <c r="U113" i="2"/>
  <c r="AB112" i="2"/>
  <c r="X112" i="2"/>
  <c r="W112" i="2"/>
  <c r="V112" i="2"/>
  <c r="U112" i="2"/>
  <c r="X111" i="2"/>
  <c r="W111" i="2"/>
  <c r="V111" i="2"/>
  <c r="U111" i="2"/>
  <c r="X110" i="2"/>
  <c r="W110" i="2"/>
  <c r="V110" i="2"/>
  <c r="U110" i="2"/>
  <c r="X109" i="2"/>
  <c r="W109" i="2"/>
  <c r="V109" i="2"/>
  <c r="U109" i="2"/>
  <c r="X108" i="2"/>
  <c r="W108" i="2"/>
  <c r="V108" i="2"/>
  <c r="X107" i="2"/>
  <c r="AB104" i="2" s="1"/>
  <c r="W107" i="2"/>
  <c r="V107" i="2"/>
  <c r="X106" i="2"/>
  <c r="W106" i="2"/>
  <c r="V106" i="2"/>
  <c r="X105" i="2"/>
  <c r="W105" i="2"/>
  <c r="V105"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A28" i="2"/>
  <c r="C27" i="2"/>
  <c r="A27" i="2"/>
  <c r="C26" i="2"/>
  <c r="A26" i="2"/>
  <c r="AS128" i="2" s="1"/>
  <c r="C25" i="2"/>
  <c r="A25" i="2"/>
  <c r="AR128" i="2" s="1"/>
  <c r="C24" i="2"/>
  <c r="A24" i="2"/>
  <c r="C23" i="2"/>
  <c r="A23" i="2"/>
  <c r="C22" i="2"/>
  <c r="A22" i="2"/>
  <c r="AO128" i="2" s="1"/>
  <c r="C21" i="2"/>
  <c r="A21" i="2"/>
  <c r="AN128" i="2" s="1"/>
  <c r="C20" i="2"/>
  <c r="A20" i="2"/>
  <c r="C19" i="2"/>
  <c r="A19" i="2"/>
  <c r="C18" i="2"/>
  <c r="A18" i="2"/>
  <c r="AK128" i="2" s="1"/>
  <c r="C17" i="2"/>
  <c r="A17" i="2"/>
  <c r="AJ128" i="2" s="1"/>
  <c r="C16" i="2"/>
  <c r="A16" i="2"/>
  <c r="C15" i="2"/>
  <c r="A15" i="2"/>
  <c r="C14" i="2"/>
  <c r="A14" i="2"/>
  <c r="AG128" i="2" s="1"/>
  <c r="C13" i="2"/>
  <c r="A13" i="2"/>
  <c r="AF128" i="2" s="1"/>
  <c r="C12" i="2"/>
  <c r="A12" i="2"/>
  <c r="C11" i="2"/>
  <c r="A11" i="2"/>
  <c r="C10" i="2"/>
  <c r="A10" i="2"/>
  <c r="AC128" i="2" s="1"/>
  <c r="C9" i="2"/>
  <c r="A9" i="2"/>
  <c r="AB128" i="2" s="1"/>
  <c r="C8" i="2"/>
  <c r="A8" i="2"/>
  <c r="C7" i="2"/>
  <c r="A7" i="2"/>
  <c r="C6" i="2"/>
  <c r="A6" i="2"/>
  <c r="Y128" i="2" s="1"/>
  <c r="C5" i="2"/>
  <c r="A5" i="2"/>
  <c r="X128" i="2" s="1"/>
  <c r="C4" i="2"/>
  <c r="A4" i="2"/>
  <c r="C3" i="2"/>
  <c r="A3" i="2"/>
  <c r="C2" i="2"/>
  <c r="A2" i="2"/>
  <c r="U128" i="2" s="1"/>
  <c r="F1" i="1"/>
  <c r="AS130" i="2" l="1"/>
  <c r="AB116" i="2"/>
  <c r="H114" i="2" s="1"/>
  <c r="Y112" i="2"/>
  <c r="R113" i="2" s="1"/>
  <c r="Y109" i="2"/>
  <c r="L113" i="2" s="1"/>
  <c r="W103" i="2"/>
  <c r="Y113" i="2"/>
  <c r="L114" i="2" s="1"/>
  <c r="U103" i="2"/>
  <c r="M115" i="2" s="1"/>
  <c r="Y115" i="2"/>
  <c r="P114" i="2" s="1"/>
  <c r="Y114" i="2"/>
  <c r="N114" i="2" s="1"/>
  <c r="Y107" i="2"/>
  <c r="P116" i="2" s="1"/>
  <c r="Y116" i="2"/>
  <c r="R114" i="2" s="1"/>
  <c r="AB114" i="2"/>
  <c r="E115" i="2" s="1"/>
  <c r="Y111" i="2"/>
  <c r="P113" i="2" s="1"/>
  <c r="Y108" i="2"/>
  <c r="R116" i="2" s="1"/>
  <c r="Y106" i="2"/>
  <c r="N116" i="2" s="1"/>
  <c r="Y105" i="2"/>
  <c r="L116" i="2" s="1"/>
  <c r="Y110" i="2"/>
  <c r="N113" i="2" s="1"/>
  <c r="Y161" i="3"/>
  <c r="R159" i="3" s="1"/>
  <c r="AB159" i="3"/>
  <c r="E160" i="3" s="1"/>
  <c r="Y158" i="3"/>
  <c r="L159" i="3" s="1"/>
  <c r="Y156" i="3"/>
  <c r="P158" i="3" s="1"/>
  <c r="U148" i="3"/>
  <c r="M160" i="3" s="1"/>
  <c r="AB161" i="3"/>
  <c r="H159" i="3" s="1"/>
  <c r="Y160" i="3"/>
  <c r="P159" i="3" s="1"/>
  <c r="Y155" i="3"/>
  <c r="N158" i="3" s="1"/>
  <c r="W148" i="3"/>
  <c r="Y157" i="3"/>
  <c r="R158" i="3" s="1"/>
  <c r="Y154" i="3"/>
  <c r="L158" i="3" s="1"/>
  <c r="Y153" i="3"/>
  <c r="R161" i="3" s="1"/>
  <c r="Y152" i="3"/>
  <c r="P161" i="3" s="1"/>
  <c r="Y159" i="3"/>
  <c r="N159" i="3" s="1"/>
  <c r="Y151" i="3"/>
  <c r="N161" i="3" s="1"/>
  <c r="Y150" i="3"/>
  <c r="L161" i="3" s="1"/>
  <c r="AS129" i="2"/>
  <c r="X129" i="2"/>
  <c r="X130" i="2"/>
  <c r="AF129" i="2"/>
  <c r="AF130" i="2"/>
  <c r="AJ129" i="2"/>
  <c r="AJ130" i="2" s="1"/>
  <c r="AR129" i="2"/>
  <c r="AR130" i="2"/>
  <c r="AH130" i="2"/>
  <c r="AB112" i="3"/>
  <c r="AB104" i="3"/>
  <c r="AT104" i="4"/>
  <c r="AT105" i="4"/>
  <c r="AD114" i="4"/>
  <c r="AD115" i="4"/>
  <c r="AR124" i="4"/>
  <c r="AR125" i="4"/>
  <c r="AB119" i="3"/>
  <c r="AB127" i="3"/>
  <c r="AN129" i="2"/>
  <c r="AN130" i="2" s="1"/>
  <c r="W118" i="2"/>
  <c r="W128" i="2"/>
  <c r="AA128" i="2"/>
  <c r="AA118" i="2"/>
  <c r="AE118" i="2"/>
  <c r="AE128" i="2"/>
  <c r="AI128" i="2"/>
  <c r="AI118" i="2"/>
  <c r="AM118" i="2"/>
  <c r="AM128" i="2"/>
  <c r="AQ128" i="2"/>
  <c r="AQ118" i="2"/>
  <c r="AU118" i="2"/>
  <c r="AU128" i="2"/>
  <c r="U118" i="2"/>
  <c r="AC118" i="2"/>
  <c r="AK118" i="2"/>
  <c r="AS118" i="2"/>
  <c r="Y104" i="4"/>
  <c r="Y105" i="4" s="1"/>
  <c r="X114" i="4"/>
  <c r="X115" i="4" s="1"/>
  <c r="AS114" i="4"/>
  <c r="AS115" i="4" s="1"/>
  <c r="U155" i="4"/>
  <c r="U154" i="4"/>
  <c r="AC164" i="4"/>
  <c r="AC165" i="4" s="1"/>
  <c r="AI174" i="4"/>
  <c r="AI175" i="4" s="1"/>
  <c r="AK154" i="4"/>
  <c r="AK155" i="4" s="1"/>
  <c r="AS164" i="4"/>
  <c r="AS165" i="4"/>
  <c r="AL104" i="4"/>
  <c r="AL105" i="4"/>
  <c r="AK114" i="4"/>
  <c r="AK115" i="4" s="1"/>
  <c r="AT115" i="4"/>
  <c r="AG125" i="4"/>
  <c r="AG124" i="4"/>
  <c r="Y118" i="2"/>
  <c r="AG118" i="2"/>
  <c r="AO118" i="2"/>
  <c r="AF104" i="4"/>
  <c r="AF105" i="4"/>
  <c r="H109" i="4"/>
  <c r="Z125" i="4"/>
  <c r="AC135" i="4"/>
  <c r="AT135" i="4"/>
  <c r="AD139" i="4"/>
  <c r="AC155" i="4"/>
  <c r="AN154" i="4"/>
  <c r="AN155" i="4" s="1"/>
  <c r="AL165" i="4"/>
  <c r="AE174" i="4"/>
  <c r="AE175" i="4" s="1"/>
  <c r="AM184" i="4"/>
  <c r="AM185" i="4" s="1"/>
  <c r="AD214" i="4"/>
  <c r="AD215" i="4"/>
  <c r="G13" i="9"/>
  <c r="K9" i="9" s="1"/>
  <c r="J9" i="9"/>
  <c r="S28" i="9"/>
  <c r="Z21" i="9" s="1"/>
  <c r="Y21" i="9"/>
  <c r="AP119" i="2" s="1"/>
  <c r="AP120" i="2" s="1"/>
  <c r="K30" i="9"/>
  <c r="AB13" i="9" s="1"/>
  <c r="AB12" i="9"/>
  <c r="AG105" i="4"/>
  <c r="AF114" i="4"/>
  <c r="AF115" i="4" s="1"/>
  <c r="AN114" i="4"/>
  <c r="AN115" i="4" s="1"/>
  <c r="AK125" i="4"/>
  <c r="AB144" i="4"/>
  <c r="AB145" i="4"/>
  <c r="AK145" i="4"/>
  <c r="AD155" i="4"/>
  <c r="AF164" i="4"/>
  <c r="Y13" i="9"/>
  <c r="K28" i="9"/>
  <c r="Z13" i="9" s="1"/>
  <c r="AB172" i="3"/>
  <c r="AB164" i="3"/>
  <c r="V213" i="4"/>
  <c r="V203" i="4"/>
  <c r="V193" i="4"/>
  <c r="V183" i="4"/>
  <c r="V173" i="4"/>
  <c r="V153" i="4"/>
  <c r="V133" i="4"/>
  <c r="V113" i="4"/>
  <c r="X213" i="4"/>
  <c r="X203" i="4"/>
  <c r="X193" i="4"/>
  <c r="X103" i="4"/>
  <c r="X163" i="4"/>
  <c r="X143" i="4"/>
  <c r="X123" i="4"/>
  <c r="Z213" i="4"/>
  <c r="Z203" i="4"/>
  <c r="Z193" i="4"/>
  <c r="Z183" i="4"/>
  <c r="Z153" i="4"/>
  <c r="Z133" i="4"/>
  <c r="AB183" i="4"/>
  <c r="AB153" i="4"/>
  <c r="AB133" i="4"/>
  <c r="AB113" i="4"/>
  <c r="AB173" i="4"/>
  <c r="AD173" i="4"/>
  <c r="AD163" i="4"/>
  <c r="AD143" i="4"/>
  <c r="AD123" i="4"/>
  <c r="AF213" i="4"/>
  <c r="AF203" i="4"/>
  <c r="AF193" i="4"/>
  <c r="AF183" i="4"/>
  <c r="AF173" i="4"/>
  <c r="AF153" i="4"/>
  <c r="AF133" i="4"/>
  <c r="AH103" i="4"/>
  <c r="AH213" i="4"/>
  <c r="AH214" i="4" s="1"/>
  <c r="AH203" i="4"/>
  <c r="AH193" i="4"/>
  <c r="AH183" i="4"/>
  <c r="AH163" i="4"/>
  <c r="AH143" i="4"/>
  <c r="AH123" i="4"/>
  <c r="AJ213" i="4"/>
  <c r="AJ203" i="4"/>
  <c r="AJ193" i="4"/>
  <c r="AJ183" i="4"/>
  <c r="AJ173" i="4"/>
  <c r="AJ163" i="4"/>
  <c r="AJ143" i="4"/>
  <c r="AJ123" i="4"/>
  <c r="AL213" i="4"/>
  <c r="AL203" i="4"/>
  <c r="AL193" i="4"/>
  <c r="AL183" i="4"/>
  <c r="AL173" i="4"/>
  <c r="AL153" i="4"/>
  <c r="AL133" i="4"/>
  <c r="AL113" i="4"/>
  <c r="AN103" i="4"/>
  <c r="AN163" i="4"/>
  <c r="AN143" i="4"/>
  <c r="AN123" i="4"/>
  <c r="AP213" i="4"/>
  <c r="AP203" i="4"/>
  <c r="AP193" i="4"/>
  <c r="AP194" i="4" s="1"/>
  <c r="AP183" i="4"/>
  <c r="AP173" i="4"/>
  <c r="AP153" i="4"/>
  <c r="AP133" i="4"/>
  <c r="AR173" i="4"/>
  <c r="AR153" i="4"/>
  <c r="AR133" i="4"/>
  <c r="AR113" i="4"/>
  <c r="AR213" i="4"/>
  <c r="AR203" i="4"/>
  <c r="AR193" i="4"/>
  <c r="AR183" i="4"/>
  <c r="AT213" i="4"/>
  <c r="AT203" i="4"/>
  <c r="AT193" i="4"/>
  <c r="AT183" i="4"/>
  <c r="AT163" i="4"/>
  <c r="AT143" i="4"/>
  <c r="AT123" i="4"/>
  <c r="U105" i="4"/>
  <c r="AB103" i="4"/>
  <c r="AJ103" i="4"/>
  <c r="AP103" i="4"/>
  <c r="Z113" i="4"/>
  <c r="AH113" i="4"/>
  <c r="AO115" i="4"/>
  <c r="U125" i="4"/>
  <c r="AL123" i="4"/>
  <c r="U124" i="4"/>
  <c r="X133" i="4"/>
  <c r="AH133" i="4"/>
  <c r="AO135" i="4"/>
  <c r="AL143" i="4"/>
  <c r="U144" i="4"/>
  <c r="U150" i="4" s="1"/>
  <c r="Z145" i="4"/>
  <c r="X153" i="4"/>
  <c r="AH153" i="4"/>
  <c r="AS155" i="4"/>
  <c r="AC154" i="4"/>
  <c r="V163" i="4"/>
  <c r="AG165" i="4"/>
  <c r="AR163" i="4"/>
  <c r="AF165" i="4"/>
  <c r="AD169" i="4"/>
  <c r="X173" i="4"/>
  <c r="AM174" i="4"/>
  <c r="AM175" i="4" s="1"/>
  <c r="AD183" i="4"/>
  <c r="W184" i="4"/>
  <c r="W185" i="4" s="1"/>
  <c r="AD193" i="4"/>
  <c r="AN195" i="4"/>
  <c r="H199" i="4"/>
  <c r="AM204" i="4"/>
  <c r="AM205" i="4" s="1"/>
  <c r="AB205" i="4"/>
  <c r="AN213" i="4"/>
  <c r="AR144" i="4"/>
  <c r="AR145" i="4"/>
  <c r="AB164" i="4"/>
  <c r="AB165" i="4"/>
  <c r="AB142" i="3"/>
  <c r="AB134" i="3"/>
  <c r="Y115" i="4"/>
  <c r="AN134" i="4"/>
  <c r="AN135" i="4" s="1"/>
  <c r="AU175" i="4"/>
  <c r="X185" i="4"/>
  <c r="AB194" i="4"/>
  <c r="AB195" i="4" s="1"/>
  <c r="X118" i="2"/>
  <c r="AB118" i="2"/>
  <c r="AF118" i="2"/>
  <c r="AJ118" i="2"/>
  <c r="AN118" i="2"/>
  <c r="AR118" i="2"/>
  <c r="Y119" i="2"/>
  <c r="AC119" i="2"/>
  <c r="U129" i="2"/>
  <c r="U130" i="2" s="1"/>
  <c r="Y129" i="2"/>
  <c r="Y130" i="2" s="1"/>
  <c r="AC129" i="2"/>
  <c r="AC130" i="2" s="1"/>
  <c r="AG129" i="2"/>
  <c r="AG130" i="2" s="1"/>
  <c r="AK129" i="2"/>
  <c r="AK130" i="2" s="1"/>
  <c r="AO129" i="2"/>
  <c r="AO130" i="2" s="1"/>
  <c r="V103" i="4"/>
  <c r="AD103" i="4"/>
  <c r="U110" i="4" s="1"/>
  <c r="AR103" i="4"/>
  <c r="U115" i="4"/>
  <c r="AC115" i="4"/>
  <c r="AJ113" i="4"/>
  <c r="AP113" i="4"/>
  <c r="V123" i="4"/>
  <c r="AF123" i="4"/>
  <c r="AP123" i="4"/>
  <c r="Y135" i="4"/>
  <c r="AJ133" i="4"/>
  <c r="AS135" i="4"/>
  <c r="AC134" i="4"/>
  <c r="V143" i="4"/>
  <c r="AF143" i="4"/>
  <c r="AP143" i="4"/>
  <c r="AG144" i="4"/>
  <c r="AG145" i="4" s="1"/>
  <c r="AJ153" i="4"/>
  <c r="AT153" i="4"/>
  <c r="AO154" i="4"/>
  <c r="AO155" i="4" s="1"/>
  <c r="Z163" i="4"/>
  <c r="AK165" i="4"/>
  <c r="U164" i="4"/>
  <c r="U170" i="4" s="1"/>
  <c r="AP164" i="4"/>
  <c r="AP165" i="4" s="1"/>
  <c r="Z173" i="4"/>
  <c r="AN173" i="4"/>
  <c r="AE184" i="4"/>
  <c r="AE185" i="4" s="1"/>
  <c r="X184" i="4"/>
  <c r="AN185" i="4"/>
  <c r="AM194" i="4"/>
  <c r="AM195" i="4" s="1"/>
  <c r="AN203" i="4"/>
  <c r="AB213" i="4"/>
  <c r="Y12" i="9"/>
  <c r="AC125" i="4"/>
  <c r="AS125" i="4"/>
  <c r="AC124" i="4"/>
  <c r="AS124" i="4"/>
  <c r="U135" i="4"/>
  <c r="AK135" i="4"/>
  <c r="U134" i="4"/>
  <c r="AK134" i="4"/>
  <c r="AC145" i="4"/>
  <c r="AS145" i="4"/>
  <c r="AC144" i="4"/>
  <c r="AS144" i="4"/>
  <c r="W193" i="4"/>
  <c r="W203" i="4"/>
  <c r="K16" i="9"/>
  <c r="N13" i="9" s="1"/>
  <c r="N12" i="9"/>
  <c r="O13" i="9"/>
  <c r="K23" i="9"/>
  <c r="U13" i="9" s="1"/>
  <c r="Q21" i="9"/>
  <c r="R19" i="9"/>
  <c r="T21" i="9"/>
  <c r="AK104" i="4" s="1"/>
  <c r="AK105" i="4" s="1"/>
  <c r="S26" i="9"/>
  <c r="X21" i="9" s="1"/>
  <c r="AO104" i="4" s="1"/>
  <c r="AO105" i="4" s="1"/>
  <c r="W17" i="9"/>
  <c r="U25" i="9"/>
  <c r="W23" i="9" s="1"/>
  <c r="U213" i="4"/>
  <c r="U203" i="4"/>
  <c r="U193" i="4"/>
  <c r="U183" i="4"/>
  <c r="U173" i="4"/>
  <c r="W163" i="4"/>
  <c r="W153" i="4"/>
  <c r="W143" i="4"/>
  <c r="W133" i="4"/>
  <c r="W123" i="4"/>
  <c r="W113" i="4"/>
  <c r="W103" i="4"/>
  <c r="Y213" i="4"/>
  <c r="Y203" i="4"/>
  <c r="Y193" i="4"/>
  <c r="Y183" i="4"/>
  <c r="Y173" i="4"/>
  <c r="AA213" i="4"/>
  <c r="AA203" i="4"/>
  <c r="AA193" i="4"/>
  <c r="AA183" i="4"/>
  <c r="AA173" i="4"/>
  <c r="AA163" i="4"/>
  <c r="AA153" i="4"/>
  <c r="AA143" i="4"/>
  <c r="AA133" i="4"/>
  <c r="AA123" i="4"/>
  <c r="AA113" i="4"/>
  <c r="AA103" i="4"/>
  <c r="AC213" i="4"/>
  <c r="AC214" i="4" s="1"/>
  <c r="AC203" i="4"/>
  <c r="AC193" i="4"/>
  <c r="AC183" i="4"/>
  <c r="AC173" i="4"/>
  <c r="AE163" i="4"/>
  <c r="AE153" i="4"/>
  <c r="AE143" i="4"/>
  <c r="AE133" i="4"/>
  <c r="AE123" i="4"/>
  <c r="AE113" i="4"/>
  <c r="AE103" i="4"/>
  <c r="AE213" i="4"/>
  <c r="AE203" i="4"/>
  <c r="AE193" i="4"/>
  <c r="AG213" i="4"/>
  <c r="AG203" i="4"/>
  <c r="AG193" i="4"/>
  <c r="AG183" i="4"/>
  <c r="AG173" i="4"/>
  <c r="AI163" i="4"/>
  <c r="AI153" i="4"/>
  <c r="AI143" i="4"/>
  <c r="AI133" i="4"/>
  <c r="AI123" i="4"/>
  <c r="AI113" i="4"/>
  <c r="AI103" i="4"/>
  <c r="AK213" i="4"/>
  <c r="AK203" i="4"/>
  <c r="AK193" i="4"/>
  <c r="AK183" i="4"/>
  <c r="AK173" i="4"/>
  <c r="AM163" i="4"/>
  <c r="AM153" i="4"/>
  <c r="AM143" i="4"/>
  <c r="AM133" i="4"/>
  <c r="AM123" i="4"/>
  <c r="AM113" i="4"/>
  <c r="AM103" i="4"/>
  <c r="AO213" i="4"/>
  <c r="AO203" i="4"/>
  <c r="AO193" i="4"/>
  <c r="AO183" i="4"/>
  <c r="AO173" i="4"/>
  <c r="AQ213" i="4"/>
  <c r="AQ203" i="4"/>
  <c r="AQ193" i="4"/>
  <c r="AQ183" i="4"/>
  <c r="AQ173" i="4"/>
  <c r="AQ163" i="4"/>
  <c r="AQ153" i="4"/>
  <c r="AQ143" i="4"/>
  <c r="AQ133" i="4"/>
  <c r="AQ123" i="4"/>
  <c r="AQ113" i="4"/>
  <c r="AQ103" i="4"/>
  <c r="AS213" i="4"/>
  <c r="AS203" i="4"/>
  <c r="AS193" i="4"/>
  <c r="AS183" i="4"/>
  <c r="AS173" i="4"/>
  <c r="AU165" i="4"/>
  <c r="AC103" i="4"/>
  <c r="AS103" i="4"/>
  <c r="AG113" i="4"/>
  <c r="H116" i="4" s="1"/>
  <c r="Y123" i="4"/>
  <c r="AO123" i="4"/>
  <c r="AG133" i="4"/>
  <c r="Y143" i="4"/>
  <c r="AO143" i="4"/>
  <c r="AG153" i="4"/>
  <c r="Y163" i="4"/>
  <c r="AO163" i="4"/>
  <c r="W173" i="4"/>
  <c r="AI183" i="4"/>
  <c r="AI193" i="4"/>
  <c r="AI203" i="4"/>
  <c r="AI213" i="4"/>
  <c r="R10" i="9"/>
  <c r="K22" i="9"/>
  <c r="T12" i="9"/>
  <c r="AU183" i="4"/>
  <c r="AU193" i="4"/>
  <c r="AU203" i="4"/>
  <c r="I13" i="9"/>
  <c r="K11" i="9" s="1"/>
  <c r="K15" i="9" s="1"/>
  <c r="M13" i="9" s="1"/>
  <c r="J11" i="9"/>
  <c r="AU103" i="4"/>
  <c r="AU113" i="4"/>
  <c r="AU123" i="4"/>
  <c r="AU133" i="4"/>
  <c r="AU143" i="4"/>
  <c r="AU153" i="4"/>
  <c r="AT174" i="4"/>
  <c r="AT175" i="4" s="1"/>
  <c r="AP174" i="4"/>
  <c r="AL174" i="4"/>
  <c r="AH174" i="4"/>
  <c r="AH175" i="4" s="1"/>
  <c r="AD174" i="4"/>
  <c r="Z174" i="4"/>
  <c r="V174" i="4"/>
  <c r="AP184" i="4"/>
  <c r="AL184" i="4"/>
  <c r="AH184" i="4"/>
  <c r="Z184" i="4"/>
  <c r="AL194" i="4"/>
  <c r="AH194" i="4"/>
  <c r="AD194" i="4"/>
  <c r="Z194" i="4"/>
  <c r="V194" i="4"/>
  <c r="AT204" i="4"/>
  <c r="AL204" i="4"/>
  <c r="AH204" i="4"/>
  <c r="AD204" i="4"/>
  <c r="AD205" i="4" s="1"/>
  <c r="Z204" i="4"/>
  <c r="V204" i="4"/>
  <c r="H216" i="4"/>
  <c r="AU214" i="4"/>
  <c r="AU215" i="4" s="1"/>
  <c r="AM214" i="4"/>
  <c r="AM215" i="4" s="1"/>
  <c r="AI214" i="4"/>
  <c r="W214" i="4"/>
  <c r="W215" i="4" s="1"/>
  <c r="AS214" i="4"/>
  <c r="AN214" i="4"/>
  <c r="X214" i="4"/>
  <c r="E13" i="9"/>
  <c r="K7" i="9" s="1"/>
  <c r="J7" i="9"/>
  <c r="H15" i="9"/>
  <c r="M10" i="9" s="1"/>
  <c r="I10" i="9"/>
  <c r="H25" i="9"/>
  <c r="W10" i="9" s="1"/>
  <c r="V10" i="9"/>
  <c r="F28" i="9"/>
  <c r="Z8" i="9" s="1"/>
  <c r="Y8" i="9"/>
  <c r="H23" i="9"/>
  <c r="O10" i="9"/>
  <c r="W28" i="9"/>
  <c r="Z25" i="9" s="1"/>
  <c r="K116" i="4" l="1"/>
  <c r="Q116" i="4"/>
  <c r="Y117" i="4"/>
  <c r="AC117" i="4" s="1"/>
  <c r="O116" i="4"/>
  <c r="M116" i="4"/>
  <c r="AE110" i="4"/>
  <c r="Q111" i="4" s="1"/>
  <c r="AE109" i="4"/>
  <c r="Q110" i="4" s="1"/>
  <c r="W110" i="4"/>
  <c r="L111" i="4" s="1"/>
  <c r="AE170" i="4"/>
  <c r="Q171" i="4" s="1"/>
  <c r="W170" i="4"/>
  <c r="L171" i="4" s="1"/>
  <c r="AE169" i="4"/>
  <c r="Q170" i="4" s="1"/>
  <c r="AE150" i="4"/>
  <c r="Q151" i="4" s="1"/>
  <c r="AE149" i="4"/>
  <c r="Q150" i="4" s="1"/>
  <c r="W150" i="4"/>
  <c r="L151" i="4" s="1"/>
  <c r="Y144" i="4"/>
  <c r="Y145" i="4" s="1"/>
  <c r="AS215" i="4"/>
  <c r="AM124" i="4"/>
  <c r="AM125" i="4" s="1"/>
  <c r="AK205" i="4"/>
  <c r="AK204" i="4"/>
  <c r="AI164" i="4"/>
  <c r="AI165" i="4" s="1"/>
  <c r="AE215" i="4"/>
  <c r="AC174" i="4"/>
  <c r="AC175" i="4"/>
  <c r="AA134" i="4"/>
  <c r="AA135" i="4" s="1"/>
  <c r="Y204" i="4"/>
  <c r="Y205" i="4" s="1"/>
  <c r="W165" i="4"/>
  <c r="W164" i="4"/>
  <c r="U204" i="4"/>
  <c r="U205" i="4" s="1"/>
  <c r="W205" i="4"/>
  <c r="W204" i="4"/>
  <c r="V124" i="4"/>
  <c r="V125" i="4"/>
  <c r="V164" i="4"/>
  <c r="V165" i="4"/>
  <c r="AR185" i="4"/>
  <c r="AR184" i="4"/>
  <c r="AP134" i="4"/>
  <c r="AP135" i="4" s="1"/>
  <c r="AN144" i="4"/>
  <c r="AN145" i="4" s="1"/>
  <c r="AJ144" i="4"/>
  <c r="AJ145" i="4"/>
  <c r="AH145" i="4"/>
  <c r="AH144" i="4"/>
  <c r="H206" i="4"/>
  <c r="AF204" i="4"/>
  <c r="AF205" i="4" s="1"/>
  <c r="Z154" i="4"/>
  <c r="Z155" i="4" s="1"/>
  <c r="V114" i="4"/>
  <c r="V115" i="4" s="1"/>
  <c r="AI129" i="2"/>
  <c r="AI130" i="2"/>
  <c r="AD184" i="4"/>
  <c r="AD185" i="4" s="1"/>
  <c r="AU154" i="4"/>
  <c r="AU155" i="4" s="1"/>
  <c r="K26" i="9"/>
  <c r="X13" i="9" s="1"/>
  <c r="T13" i="9"/>
  <c r="AG134" i="4"/>
  <c r="AG135" i="4" s="1"/>
  <c r="AS185" i="4"/>
  <c r="AS184" i="4"/>
  <c r="AQ184" i="4"/>
  <c r="AQ185" i="4" s="1"/>
  <c r="AO214" i="4"/>
  <c r="AO215" i="4" s="1"/>
  <c r="AK214" i="4"/>
  <c r="AK215" i="4"/>
  <c r="AG175" i="4"/>
  <c r="AG174" i="4"/>
  <c r="AE104" i="4"/>
  <c r="AE105" i="4"/>
  <c r="AC184" i="4"/>
  <c r="AC185" i="4" s="1"/>
  <c r="AA144" i="4"/>
  <c r="AA145" i="4" s="1"/>
  <c r="Y175" i="4"/>
  <c r="Y174" i="4"/>
  <c r="W134" i="4"/>
  <c r="W135" i="4" s="1"/>
  <c r="U175" i="4"/>
  <c r="U174" i="4"/>
  <c r="U180" i="4" s="1"/>
  <c r="W194" i="4"/>
  <c r="W195" i="4" s="1"/>
  <c r="AT155" i="4"/>
  <c r="AT154" i="4"/>
  <c r="AU124" i="4"/>
  <c r="AU125" i="4" s="1"/>
  <c r="AI205" i="4"/>
  <c r="AI204" i="4"/>
  <c r="AG114" i="4"/>
  <c r="AG115" i="4" s="1"/>
  <c r="AQ135" i="4"/>
  <c r="AQ134" i="4"/>
  <c r="U140" i="4" s="1"/>
  <c r="AN204" i="4"/>
  <c r="AN205" i="4"/>
  <c r="AJ134" i="4"/>
  <c r="AJ135" i="4" s="1"/>
  <c r="AD104" i="4"/>
  <c r="AD105" i="4"/>
  <c r="AJ119" i="2"/>
  <c r="AJ120" i="2" s="1"/>
  <c r="AP195" i="4"/>
  <c r="AL135" i="4"/>
  <c r="AL134" i="4"/>
  <c r="AJ194" i="4"/>
  <c r="AJ195" i="4" s="1"/>
  <c r="AF154" i="4"/>
  <c r="AF155" i="4" s="1"/>
  <c r="H156" i="4"/>
  <c r="AB134" i="4"/>
  <c r="AB135" i="4"/>
  <c r="Z214" i="4"/>
  <c r="Z215" i="4" s="1"/>
  <c r="Y170" i="3"/>
  <c r="N173" i="3" s="1"/>
  <c r="Y166" i="3"/>
  <c r="N176" i="3" s="1"/>
  <c r="Y165" i="3"/>
  <c r="L176" i="3" s="1"/>
  <c r="AB176" i="3"/>
  <c r="H174" i="3" s="1"/>
  <c r="Y174" i="3"/>
  <c r="N174" i="3" s="1"/>
  <c r="AB170" i="3"/>
  <c r="E173" i="3" s="1"/>
  <c r="Y172" i="3"/>
  <c r="R173" i="3" s="1"/>
  <c r="Y176" i="3"/>
  <c r="R174" i="3" s="1"/>
  <c r="Y175" i="3"/>
  <c r="P174" i="3" s="1"/>
  <c r="Y173" i="3"/>
  <c r="L174" i="3" s="1"/>
  <c r="Y169" i="3"/>
  <c r="L173" i="3" s="1"/>
  <c r="W163" i="3"/>
  <c r="Y171" i="3"/>
  <c r="P173" i="3" s="1"/>
  <c r="U163" i="3"/>
  <c r="M175" i="3" s="1"/>
  <c r="AB174" i="3"/>
  <c r="E175" i="3" s="1"/>
  <c r="Y168" i="3"/>
  <c r="R176" i="3" s="1"/>
  <c r="Y167" i="3"/>
  <c r="P176" i="3" s="1"/>
  <c r="H166" i="4"/>
  <c r="H169" i="4"/>
  <c r="Y110" i="3"/>
  <c r="N113" i="3" s="1"/>
  <c r="Y106" i="3"/>
  <c r="N116" i="3" s="1"/>
  <c r="Y105" i="3"/>
  <c r="L116" i="3" s="1"/>
  <c r="Y112" i="3"/>
  <c r="R113" i="3" s="1"/>
  <c r="W103" i="3"/>
  <c r="AB116" i="3"/>
  <c r="H114" i="3" s="1"/>
  <c r="AB114" i="3"/>
  <c r="E115" i="3" s="1"/>
  <c r="Y111" i="3"/>
  <c r="P113" i="3" s="1"/>
  <c r="Y108" i="3"/>
  <c r="R116" i="3" s="1"/>
  <c r="Y107" i="3"/>
  <c r="P116" i="3" s="1"/>
  <c r="U103" i="3"/>
  <c r="M115" i="3" s="1"/>
  <c r="Y114" i="3"/>
  <c r="N114" i="3" s="1"/>
  <c r="Y116" i="3"/>
  <c r="R114" i="3" s="1"/>
  <c r="Y115" i="3"/>
  <c r="P114" i="3" s="1"/>
  <c r="Y109" i="3"/>
  <c r="L113" i="3" s="1"/>
  <c r="Y113" i="3"/>
  <c r="L114" i="3" s="1"/>
  <c r="AU114" i="4"/>
  <c r="AU115" i="4"/>
  <c r="AI195" i="4"/>
  <c r="AI194" i="4"/>
  <c r="AS104" i="4"/>
  <c r="AS105" i="4" s="1"/>
  <c r="AQ144" i="4"/>
  <c r="AQ145" i="4" s="1"/>
  <c r="AM134" i="4"/>
  <c r="AM135" i="4"/>
  <c r="H189" i="4"/>
  <c r="AP144" i="4"/>
  <c r="AP145" i="4"/>
  <c r="V105" i="4"/>
  <c r="V104" i="4"/>
  <c r="AK119" i="2"/>
  <c r="U119" i="2"/>
  <c r="U120" i="2" s="1"/>
  <c r="AF119" i="2"/>
  <c r="U125" i="2" s="1"/>
  <c r="H121" i="2"/>
  <c r="AB124" i="4"/>
  <c r="AB125" i="4" s="1"/>
  <c r="AH155" i="4"/>
  <c r="AH154" i="4"/>
  <c r="AL144" i="4"/>
  <c r="AL145" i="4" s="1"/>
  <c r="AT125" i="4"/>
  <c r="AT124" i="4"/>
  <c r="AR134" i="4"/>
  <c r="AR135" i="4"/>
  <c r="AP155" i="4"/>
  <c r="AP154" i="4"/>
  <c r="AP205" i="4"/>
  <c r="AL155" i="4"/>
  <c r="AL154" i="4"/>
  <c r="AL205" i="4"/>
  <c r="AJ204" i="4"/>
  <c r="AJ205" i="4" s="1"/>
  <c r="AH165" i="4"/>
  <c r="AH164" i="4"/>
  <c r="H176" i="4"/>
  <c r="AF175" i="4"/>
  <c r="AF174" i="4"/>
  <c r="AF214" i="4"/>
  <c r="AF215" i="4" s="1"/>
  <c r="Z185" i="4"/>
  <c r="V195" i="4"/>
  <c r="AU129" i="2"/>
  <c r="AU130" i="2" s="1"/>
  <c r="AM129" i="2"/>
  <c r="AM130" i="2"/>
  <c r="AE129" i="2"/>
  <c r="AE130" i="2" s="1"/>
  <c r="W129" i="2"/>
  <c r="W130" i="2"/>
  <c r="H134" i="2"/>
  <c r="E114" i="2"/>
  <c r="AB106" i="2"/>
  <c r="AB108" i="2" s="1"/>
  <c r="AB110" i="2" s="1"/>
  <c r="E113" i="2" s="1"/>
  <c r="AA214" i="4"/>
  <c r="AA215" i="4" s="1"/>
  <c r="AQ214" i="4"/>
  <c r="AQ215" i="4" s="1"/>
  <c r="AP204" i="4"/>
  <c r="AT194" i="4"/>
  <c r="AT195" i="4" s="1"/>
  <c r="AU144" i="4"/>
  <c r="AU145" i="4" s="1"/>
  <c r="AU104" i="4"/>
  <c r="AU105" i="4" s="1"/>
  <c r="AU194" i="4"/>
  <c r="AU195" i="4" s="1"/>
  <c r="AI184" i="4"/>
  <c r="AI185" i="4" s="1"/>
  <c r="AG154" i="4"/>
  <c r="AG155" i="4" s="1"/>
  <c r="AO124" i="4"/>
  <c r="AO125" i="4" s="1"/>
  <c r="AC104" i="4"/>
  <c r="AC105" i="4" s="1"/>
  <c r="AS194" i="4"/>
  <c r="AS195" i="4" s="1"/>
  <c r="AQ114" i="4"/>
  <c r="AQ115" i="4" s="1"/>
  <c r="AQ154" i="4"/>
  <c r="AQ155" i="4" s="1"/>
  <c r="AQ194" i="4"/>
  <c r="AQ195" i="4" s="1"/>
  <c r="AO184" i="4"/>
  <c r="AO185" i="4" s="1"/>
  <c r="AM104" i="4"/>
  <c r="AM105" i="4" s="1"/>
  <c r="AM144" i="4"/>
  <c r="AM145" i="4" s="1"/>
  <c r="AK184" i="4"/>
  <c r="AK185" i="4" s="1"/>
  <c r="AI104" i="4"/>
  <c r="AI105" i="4"/>
  <c r="AI144" i="4"/>
  <c r="AI145" i="4" s="1"/>
  <c r="AG184" i="4"/>
  <c r="AG185" i="4" s="1"/>
  <c r="AE194" i="4"/>
  <c r="AE195" i="4" s="1"/>
  <c r="AE114" i="4"/>
  <c r="AE115" i="4" s="1"/>
  <c r="AE154" i="4"/>
  <c r="AE155" i="4" s="1"/>
  <c r="AC194" i="4"/>
  <c r="AC195" i="4"/>
  <c r="AA114" i="4"/>
  <c r="AA115" i="4" s="1"/>
  <c r="AA154" i="4"/>
  <c r="AA155" i="4" s="1"/>
  <c r="AA194" i="4"/>
  <c r="AA195" i="4" s="1"/>
  <c r="Y184" i="4"/>
  <c r="Y185" i="4" s="1"/>
  <c r="W104" i="4"/>
  <c r="W105" i="4" s="1"/>
  <c r="W144" i="4"/>
  <c r="W145" i="4" s="1"/>
  <c r="U184" i="4"/>
  <c r="U190" i="4" s="1"/>
  <c r="AN174" i="4"/>
  <c r="AN175" i="4" s="1"/>
  <c r="AJ154" i="4"/>
  <c r="AJ155" i="4"/>
  <c r="AF144" i="4"/>
  <c r="H149" i="4"/>
  <c r="H146" i="4"/>
  <c r="AF145" i="4"/>
  <c r="AP124" i="4"/>
  <c r="AP125" i="4"/>
  <c r="AP114" i="4"/>
  <c r="AP115" i="4" s="1"/>
  <c r="AR104" i="4"/>
  <c r="AR105" i="4"/>
  <c r="AG119" i="2"/>
  <c r="AG120" i="2" s="1"/>
  <c r="AR119" i="2"/>
  <c r="AR120" i="2" s="1"/>
  <c r="AB119" i="2"/>
  <c r="AB120" i="2" s="1"/>
  <c r="AD195" i="4"/>
  <c r="AR164" i="4"/>
  <c r="AR165" i="4"/>
  <c r="H159" i="4"/>
  <c r="X154" i="4"/>
  <c r="X155" i="4" s="1"/>
  <c r="U145" i="4"/>
  <c r="AH114" i="4"/>
  <c r="AH115" i="4"/>
  <c r="AJ104" i="4"/>
  <c r="AJ105" i="4"/>
  <c r="AT144" i="4"/>
  <c r="AT145" i="4" s="1"/>
  <c r="AT205" i="4"/>
  <c r="AR205" i="4"/>
  <c r="AR204" i="4"/>
  <c r="AR154" i="4"/>
  <c r="AR155" i="4" s="1"/>
  <c r="AP175" i="4"/>
  <c r="AP214" i="4"/>
  <c r="AP215" i="4"/>
  <c r="AN104" i="4"/>
  <c r="AN105" i="4"/>
  <c r="AL175" i="4"/>
  <c r="AL215" i="4"/>
  <c r="AL214" i="4"/>
  <c r="AJ174" i="4"/>
  <c r="AJ175" i="4" s="1"/>
  <c r="AJ215" i="4"/>
  <c r="AJ214" i="4"/>
  <c r="AH185" i="4"/>
  <c r="AH104" i="4"/>
  <c r="AH105" i="4" s="1"/>
  <c r="H106" i="4"/>
  <c r="H186" i="4"/>
  <c r="AF184" i="4"/>
  <c r="AF185" i="4" s="1"/>
  <c r="AD124" i="4"/>
  <c r="AD125" i="4" s="1"/>
  <c r="AB174" i="4"/>
  <c r="AB175" i="4"/>
  <c r="AB184" i="4"/>
  <c r="AB185" i="4"/>
  <c r="Z195" i="4"/>
  <c r="X144" i="4"/>
  <c r="X145" i="4" s="1"/>
  <c r="X205" i="4"/>
  <c r="X204" i="4"/>
  <c r="V155" i="4"/>
  <c r="V154" i="4"/>
  <c r="V205" i="4"/>
  <c r="U130" i="4"/>
  <c r="Y120" i="2"/>
  <c r="AK120" i="2"/>
  <c r="AU119" i="2"/>
  <c r="AU120" i="2" s="1"/>
  <c r="AM119" i="2"/>
  <c r="AM120" i="2" s="1"/>
  <c r="AE119" i="2"/>
  <c r="AE120" i="2" s="1"/>
  <c r="W119" i="2"/>
  <c r="W120" i="2" s="1"/>
  <c r="H131" i="2"/>
  <c r="Q216" i="4"/>
  <c r="Y217" i="4"/>
  <c r="AC217" i="4" s="1"/>
  <c r="M216" i="4"/>
  <c r="O216" i="4"/>
  <c r="K216" i="4"/>
  <c r="AO164" i="4"/>
  <c r="AO165" i="4" s="1"/>
  <c r="AS174" i="4"/>
  <c r="AS175" i="4"/>
  <c r="AQ174" i="4"/>
  <c r="AQ175" i="4" s="1"/>
  <c r="AO204" i="4"/>
  <c r="AO205" i="4" s="1"/>
  <c r="AM164" i="4"/>
  <c r="AM165" i="4" s="1"/>
  <c r="AI124" i="4"/>
  <c r="AI125" i="4" s="1"/>
  <c r="AG204" i="4"/>
  <c r="AG205" i="4" s="1"/>
  <c r="AE134" i="4"/>
  <c r="AE135" i="4" s="1"/>
  <c r="AC215" i="4"/>
  <c r="AA175" i="4"/>
  <c r="AA174" i="4"/>
  <c r="W125" i="4"/>
  <c r="W124" i="4"/>
  <c r="AO119" i="2"/>
  <c r="AO120" i="2" s="1"/>
  <c r="K199" i="4"/>
  <c r="M199" i="4"/>
  <c r="Y198" i="4"/>
  <c r="AC198" i="4" s="1"/>
  <c r="Q199" i="4"/>
  <c r="O199" i="4"/>
  <c r="AH135" i="4"/>
  <c r="AH134" i="4"/>
  <c r="AR114" i="4"/>
  <c r="AR115" i="4" s="1"/>
  <c r="AL195" i="4"/>
  <c r="AH205" i="4"/>
  <c r="AD165" i="4"/>
  <c r="AD164" i="4"/>
  <c r="X104" i="4"/>
  <c r="X105" i="4" s="1"/>
  <c r="U210" i="4"/>
  <c r="AQ129" i="2"/>
  <c r="AQ130" i="2" s="1"/>
  <c r="AA129" i="2"/>
  <c r="AA130" i="2" s="1"/>
  <c r="Y131" i="3"/>
  <c r="R129" i="3" s="1"/>
  <c r="AB129" i="3"/>
  <c r="E130" i="3" s="1"/>
  <c r="Y128" i="3"/>
  <c r="L129" i="3" s="1"/>
  <c r="Y126" i="3"/>
  <c r="P128" i="3" s="1"/>
  <c r="U118" i="3"/>
  <c r="M130" i="3" s="1"/>
  <c r="Y129" i="3"/>
  <c r="N129" i="3" s="1"/>
  <c r="Y121" i="3"/>
  <c r="N131" i="3" s="1"/>
  <c r="Y120" i="3"/>
  <c r="L131" i="3" s="1"/>
  <c r="AB131" i="3"/>
  <c r="H129" i="3" s="1"/>
  <c r="Y130" i="3"/>
  <c r="P129" i="3" s="1"/>
  <c r="Y125" i="3"/>
  <c r="N128" i="3" s="1"/>
  <c r="W118" i="3"/>
  <c r="Y124" i="3"/>
  <c r="L128" i="3" s="1"/>
  <c r="Y127" i="3"/>
  <c r="R128" i="3" s="1"/>
  <c r="Y123" i="3"/>
  <c r="R131" i="3" s="1"/>
  <c r="Y122" i="3"/>
  <c r="P131" i="3" s="1"/>
  <c r="AT184" i="4"/>
  <c r="AT185" i="4" s="1"/>
  <c r="AU205" i="4"/>
  <c r="AU204" i="4"/>
  <c r="Y165" i="4"/>
  <c r="Y164" i="4"/>
  <c r="AQ104" i="4"/>
  <c r="AQ105" i="4" s="1"/>
  <c r="AO174" i="4"/>
  <c r="AO175" i="4" s="1"/>
  <c r="AK175" i="4"/>
  <c r="AK174" i="4"/>
  <c r="AI134" i="4"/>
  <c r="AI135" i="4" s="1"/>
  <c r="AG214" i="4"/>
  <c r="AG215" i="4" s="1"/>
  <c r="AE144" i="4"/>
  <c r="AE145" i="4" s="1"/>
  <c r="AA104" i="4"/>
  <c r="AA105" i="4" s="1"/>
  <c r="AA185" i="4"/>
  <c r="AA184" i="4"/>
  <c r="Y215" i="4"/>
  <c r="Y214" i="4"/>
  <c r="U214" i="4"/>
  <c r="U220" i="4" s="1"/>
  <c r="H139" i="4"/>
  <c r="H219" i="4"/>
  <c r="U160" i="4"/>
  <c r="X134" i="4"/>
  <c r="X135" i="4" s="1"/>
  <c r="AP104" i="4"/>
  <c r="AP105" i="4" s="1"/>
  <c r="AR195" i="4"/>
  <c r="AR194" i="4"/>
  <c r="AN164" i="4"/>
  <c r="AN165" i="4" s="1"/>
  <c r="AJ164" i="4"/>
  <c r="AJ165" i="4" s="1"/>
  <c r="AH215" i="4"/>
  <c r="AD175" i="4"/>
  <c r="AB154" i="4"/>
  <c r="AB155" i="4" s="1"/>
  <c r="X124" i="4"/>
  <c r="X125" i="4" s="1"/>
  <c r="X195" i="4"/>
  <c r="X194" i="4"/>
  <c r="V135" i="4"/>
  <c r="V134" i="4"/>
  <c r="H209" i="4"/>
  <c r="U165" i="4"/>
  <c r="H119" i="4"/>
  <c r="O109" i="4"/>
  <c r="M109" i="4"/>
  <c r="Q109" i="4"/>
  <c r="K109" i="4"/>
  <c r="AA108" i="4" s="1"/>
  <c r="Y108" i="4"/>
  <c r="AC108" i="4" s="1"/>
  <c r="AB129" i="2"/>
  <c r="AB130" i="2" s="1"/>
  <c r="U10" i="9"/>
  <c r="Y154" i="4"/>
  <c r="Y155" i="4" s="1"/>
  <c r="AE214" i="4"/>
  <c r="V184" i="4"/>
  <c r="V185" i="4" s="1"/>
  <c r="AU134" i="4"/>
  <c r="AU135" i="4" s="1"/>
  <c r="AU184" i="4"/>
  <c r="AU185" i="4" s="1"/>
  <c r="AI215" i="4"/>
  <c r="W175" i="4"/>
  <c r="W174" i="4"/>
  <c r="AO145" i="4"/>
  <c r="AO144" i="4"/>
  <c r="Y125" i="4"/>
  <c r="Y124" i="4"/>
  <c r="AS205" i="4"/>
  <c r="AS204" i="4"/>
  <c r="AQ124" i="4"/>
  <c r="AQ125" i="4" s="1"/>
  <c r="AQ165" i="4"/>
  <c r="AQ164" i="4"/>
  <c r="AQ205" i="4"/>
  <c r="AQ204" i="4"/>
  <c r="AO195" i="4"/>
  <c r="AO194" i="4"/>
  <c r="AM115" i="4"/>
  <c r="AM114" i="4"/>
  <c r="AM155" i="4"/>
  <c r="AM154" i="4"/>
  <c r="AK195" i="4"/>
  <c r="AK194" i="4"/>
  <c r="AI114" i="4"/>
  <c r="AI115" i="4" s="1"/>
  <c r="AI155" i="4"/>
  <c r="AI154" i="4"/>
  <c r="AG195" i="4"/>
  <c r="AG194" i="4"/>
  <c r="AE205" i="4"/>
  <c r="AE204" i="4"/>
  <c r="AE124" i="4"/>
  <c r="AE125" i="4" s="1"/>
  <c r="AE164" i="4"/>
  <c r="AE165" i="4" s="1"/>
  <c r="AC204" i="4"/>
  <c r="AC205" i="4" s="1"/>
  <c r="AA125" i="4"/>
  <c r="AA124" i="4"/>
  <c r="AA164" i="4"/>
  <c r="AA165" i="4" s="1"/>
  <c r="AA205" i="4"/>
  <c r="AA204" i="4"/>
  <c r="Y195" i="4"/>
  <c r="Y194" i="4"/>
  <c r="W114" i="4"/>
  <c r="W115" i="4" s="1"/>
  <c r="W155" i="4"/>
  <c r="W154" i="4"/>
  <c r="U195" i="4"/>
  <c r="U194" i="4"/>
  <c r="S19" i="9"/>
  <c r="AH119" i="2"/>
  <c r="AH120" i="2" s="1"/>
  <c r="AB215" i="4"/>
  <c r="AB214" i="4"/>
  <c r="Z175" i="4"/>
  <c r="Z164" i="4"/>
  <c r="Z165" i="4" s="1"/>
  <c r="V144" i="4"/>
  <c r="V145" i="4"/>
  <c r="AF124" i="4"/>
  <c r="H126" i="4"/>
  <c r="H129" i="4"/>
  <c r="AF125" i="4"/>
  <c r="AJ114" i="4"/>
  <c r="AJ115" i="4"/>
  <c r="AN119" i="2"/>
  <c r="AN120" i="2"/>
  <c r="X119" i="2"/>
  <c r="X120" i="2"/>
  <c r="Y140" i="3"/>
  <c r="N143" i="3" s="1"/>
  <c r="Y136" i="3"/>
  <c r="N146" i="3" s="1"/>
  <c r="Y135" i="3"/>
  <c r="L146" i="3" s="1"/>
  <c r="AB144" i="3"/>
  <c r="E145" i="3" s="1"/>
  <c r="Y141" i="3"/>
  <c r="P143" i="3" s="1"/>
  <c r="Y138" i="3"/>
  <c r="R146" i="3" s="1"/>
  <c r="Y137" i="3"/>
  <c r="P146" i="3" s="1"/>
  <c r="U133" i="3"/>
  <c r="M145" i="3" s="1"/>
  <c r="Y139" i="3"/>
  <c r="L143" i="3" s="1"/>
  <c r="AB146" i="3"/>
  <c r="H144" i="3" s="1"/>
  <c r="Y144" i="3"/>
  <c r="N144" i="3" s="1"/>
  <c r="Y146" i="3"/>
  <c r="R144" i="3" s="1"/>
  <c r="Y145" i="3"/>
  <c r="P144" i="3" s="1"/>
  <c r="Y143" i="3"/>
  <c r="L144" i="3" s="1"/>
  <c r="Y142" i="3"/>
  <c r="R143" i="3" s="1"/>
  <c r="W133" i="3"/>
  <c r="AN215" i="4"/>
  <c r="U200" i="4"/>
  <c r="X174" i="4"/>
  <c r="X175" i="4" s="1"/>
  <c r="AL125" i="4"/>
  <c r="AL124" i="4"/>
  <c r="Z114" i="4"/>
  <c r="Z115" i="4" s="1"/>
  <c r="AB104" i="4"/>
  <c r="AB105" i="4" s="1"/>
  <c r="AT164" i="4"/>
  <c r="AT165" i="4" s="1"/>
  <c r="AT215" i="4"/>
  <c r="AT214" i="4"/>
  <c r="AR215" i="4"/>
  <c r="AR214" i="4"/>
  <c r="AR174" i="4"/>
  <c r="AR175" i="4" s="1"/>
  <c r="AP185" i="4"/>
  <c r="AN124" i="4"/>
  <c r="AN125" i="4"/>
  <c r="AL114" i="4"/>
  <c r="AL115" i="4" s="1"/>
  <c r="AL185" i="4"/>
  <c r="AJ124" i="4"/>
  <c r="AJ125" i="4" s="1"/>
  <c r="AJ185" i="4"/>
  <c r="AJ184" i="4"/>
  <c r="AH125" i="4"/>
  <c r="AH124" i="4"/>
  <c r="AH195" i="4"/>
  <c r="AF134" i="4"/>
  <c r="H136" i="4"/>
  <c r="AF135" i="4"/>
  <c r="H196" i="4"/>
  <c r="AF194" i="4"/>
  <c r="AF195" i="4" s="1"/>
  <c r="AD144" i="4"/>
  <c r="AD145" i="4" s="1"/>
  <c r="AB114" i="4"/>
  <c r="AB115" i="4"/>
  <c r="Z134" i="4"/>
  <c r="Z135" i="4" s="1"/>
  <c r="Z205" i="4"/>
  <c r="X164" i="4"/>
  <c r="X165" i="4" s="1"/>
  <c r="X215" i="4"/>
  <c r="V175" i="4"/>
  <c r="V214" i="4"/>
  <c r="V215" i="4" s="1"/>
  <c r="H179" i="4"/>
  <c r="H124" i="2"/>
  <c r="AC120" i="2"/>
  <c r="AQ119" i="2"/>
  <c r="AQ120" i="2"/>
  <c r="AI119" i="2"/>
  <c r="AI120" i="2"/>
  <c r="AA119" i="2"/>
  <c r="AA120" i="2"/>
  <c r="AS119" i="2"/>
  <c r="AS120" i="2" s="1"/>
  <c r="E159" i="3"/>
  <c r="AB151" i="3"/>
  <c r="AB153" i="3" s="1"/>
  <c r="AB155" i="3" s="1"/>
  <c r="E158" i="3" s="1"/>
  <c r="W140" i="4" l="1"/>
  <c r="L141" i="4" s="1"/>
  <c r="AE139" i="4"/>
  <c r="Q140" i="4" s="1"/>
  <c r="AE140" i="4"/>
  <c r="Q141" i="4" s="1"/>
  <c r="O119" i="4"/>
  <c r="Q119" i="4"/>
  <c r="Y118" i="4"/>
  <c r="AC118" i="4" s="1"/>
  <c r="M119" i="4"/>
  <c r="K119" i="4"/>
  <c r="AE219" i="4"/>
  <c r="Q220" i="4" s="1"/>
  <c r="AE220" i="4"/>
  <c r="Q221" i="4" s="1"/>
  <c r="W220" i="4"/>
  <c r="L221" i="4" s="1"/>
  <c r="AE200" i="4"/>
  <c r="Q201" i="4" s="1"/>
  <c r="W200" i="4"/>
  <c r="L201" i="4" s="1"/>
  <c r="AE199" i="4"/>
  <c r="Q200" i="4" s="1"/>
  <c r="U120" i="4"/>
  <c r="M131" i="2"/>
  <c r="K131" i="2"/>
  <c r="Q131" i="2"/>
  <c r="O131" i="2"/>
  <c r="Y132" i="2"/>
  <c r="AC132" i="2" s="1"/>
  <c r="AE130" i="4"/>
  <c r="Q131" i="4" s="1"/>
  <c r="AE129" i="4"/>
  <c r="Q130" i="4" s="1"/>
  <c r="W130" i="4"/>
  <c r="L131" i="4" s="1"/>
  <c r="O159" i="4"/>
  <c r="Q159" i="4"/>
  <c r="Y158" i="4"/>
  <c r="AC158" i="4" s="1"/>
  <c r="K159" i="4"/>
  <c r="M159" i="4"/>
  <c r="K146" i="4"/>
  <c r="Y147" i="4"/>
  <c r="AC147" i="4" s="1"/>
  <c r="O146" i="4"/>
  <c r="M146" i="4"/>
  <c r="Q146" i="4"/>
  <c r="U185" i="4"/>
  <c r="Y177" i="4"/>
  <c r="AC177" i="4" s="1"/>
  <c r="O176" i="4"/>
  <c r="Q176" i="4"/>
  <c r="M176" i="4"/>
  <c r="K176" i="4"/>
  <c r="Z120" i="4"/>
  <c r="AA120" i="4" s="1"/>
  <c r="Y197" i="4"/>
  <c r="AC197" i="4" s="1"/>
  <c r="Z200" i="4" s="1"/>
  <c r="AA200" i="4" s="1"/>
  <c r="O196" i="4"/>
  <c r="Q196" i="4"/>
  <c r="K196" i="4"/>
  <c r="M196" i="4"/>
  <c r="E129" i="3"/>
  <c r="AB121" i="3"/>
  <c r="AB123" i="3" s="1"/>
  <c r="AB125" i="3" s="1"/>
  <c r="E128" i="3" s="1"/>
  <c r="K136" i="4"/>
  <c r="Q136" i="4"/>
  <c r="M136" i="4"/>
  <c r="O136" i="4"/>
  <c r="Y137" i="4"/>
  <c r="AC137" i="4" s="1"/>
  <c r="K209" i="4"/>
  <c r="M209" i="4"/>
  <c r="Y208" i="4"/>
  <c r="AC208" i="4" s="1"/>
  <c r="O209" i="4"/>
  <c r="Q209" i="4"/>
  <c r="O139" i="4"/>
  <c r="Q139" i="4"/>
  <c r="Y138" i="4"/>
  <c r="AC138" i="4" s="1"/>
  <c r="K139" i="4"/>
  <c r="M139" i="4"/>
  <c r="AE210" i="4"/>
  <c r="Q211" i="4" s="1"/>
  <c r="W210" i="4"/>
  <c r="L211" i="4" s="1"/>
  <c r="AE209" i="4"/>
  <c r="Q210" i="4" s="1"/>
  <c r="U135" i="2"/>
  <c r="Y187" i="4"/>
  <c r="AC187" i="4" s="1"/>
  <c r="Z190" i="4" s="1"/>
  <c r="AA190" i="4" s="1"/>
  <c r="O186" i="4"/>
  <c r="Q186" i="4"/>
  <c r="M186" i="4"/>
  <c r="K186" i="4"/>
  <c r="O149" i="4"/>
  <c r="M149" i="4"/>
  <c r="K149" i="4"/>
  <c r="Y148" i="4"/>
  <c r="AC148" i="4" s="1"/>
  <c r="Q149" i="4"/>
  <c r="AF120" i="2"/>
  <c r="E114" i="3"/>
  <c r="AB106" i="3"/>
  <c r="AB108" i="3" s="1"/>
  <c r="AB110" i="3" s="1"/>
  <c r="E113" i="3" s="1"/>
  <c r="E174" i="3"/>
  <c r="AB166" i="3"/>
  <c r="AB168" i="3" s="1"/>
  <c r="Y207" i="4"/>
  <c r="AC207" i="4" s="1"/>
  <c r="Z210" i="4" s="1"/>
  <c r="AA210" i="4" s="1"/>
  <c r="O206" i="4"/>
  <c r="Q206" i="4"/>
  <c r="M206" i="4"/>
  <c r="K206" i="4"/>
  <c r="K179" i="4"/>
  <c r="M179" i="4"/>
  <c r="O179" i="4"/>
  <c r="Q179" i="4"/>
  <c r="Y178" i="4"/>
  <c r="AC178" i="4" s="1"/>
  <c r="K126" i="4"/>
  <c r="Y127" i="4"/>
  <c r="AC127" i="4" s="1"/>
  <c r="O126" i="4"/>
  <c r="M126" i="4"/>
  <c r="Q126" i="4"/>
  <c r="M219" i="4"/>
  <c r="Y218" i="4"/>
  <c r="AC218" i="4" s="1"/>
  <c r="K219" i="4"/>
  <c r="O219" i="4"/>
  <c r="Q219" i="4"/>
  <c r="AE190" i="4"/>
  <c r="Q191" i="4" s="1"/>
  <c r="W190" i="4"/>
  <c r="L191" i="4" s="1"/>
  <c r="AE189" i="4"/>
  <c r="Q190" i="4" s="1"/>
  <c r="Q134" i="2"/>
  <c r="O134" i="2"/>
  <c r="M134" i="2"/>
  <c r="Y133" i="2"/>
  <c r="AC133" i="2" s="1"/>
  <c r="K134" i="2"/>
  <c r="AE124" i="2"/>
  <c r="Q125" i="2" s="1"/>
  <c r="W125" i="2"/>
  <c r="L126" i="2" s="1"/>
  <c r="AE125" i="2"/>
  <c r="Q126" i="2" s="1"/>
  <c r="Y167" i="4"/>
  <c r="AC167" i="4" s="1"/>
  <c r="Z170" i="4" s="1"/>
  <c r="AA170" i="4" s="1"/>
  <c r="AB170" i="4" s="1"/>
  <c r="G171" i="4" s="1"/>
  <c r="O166" i="4"/>
  <c r="K166" i="4"/>
  <c r="M166" i="4"/>
  <c r="Q166" i="4"/>
  <c r="Q124" i="2"/>
  <c r="O124" i="2"/>
  <c r="M124" i="2"/>
  <c r="Y123" i="2"/>
  <c r="AC123" i="2" s="1"/>
  <c r="K124" i="2"/>
  <c r="AB136" i="3"/>
  <c r="AB138" i="3" s="1"/>
  <c r="AB140" i="3" s="1"/>
  <c r="E143" i="3" s="1"/>
  <c r="E144" i="3"/>
  <c r="O129" i="4"/>
  <c r="M129" i="4"/>
  <c r="K129" i="4"/>
  <c r="Q129" i="4"/>
  <c r="Y128" i="4"/>
  <c r="W160" i="4"/>
  <c r="L161" i="4" s="1"/>
  <c r="AE159" i="4"/>
  <c r="Q160" i="4" s="1"/>
  <c r="AE160" i="4"/>
  <c r="Q161" i="4" s="1"/>
  <c r="U215" i="4"/>
  <c r="Z220" i="4"/>
  <c r="AA220" i="4" s="1"/>
  <c r="AB220" i="4" s="1"/>
  <c r="G221" i="4" s="1"/>
  <c r="K106" i="4"/>
  <c r="M106" i="4"/>
  <c r="Y107" i="4"/>
  <c r="O106" i="4"/>
  <c r="Q106" i="4"/>
  <c r="M121" i="2"/>
  <c r="K121" i="2"/>
  <c r="Q121" i="2"/>
  <c r="O121" i="2"/>
  <c r="Y122" i="2"/>
  <c r="K189" i="4"/>
  <c r="M189" i="4"/>
  <c r="Y188" i="4"/>
  <c r="AC188" i="4" s="1"/>
  <c r="O189" i="4"/>
  <c r="Q189" i="4"/>
  <c r="K169" i="4"/>
  <c r="M169" i="4"/>
  <c r="Q169" i="4"/>
  <c r="Y168" i="4"/>
  <c r="AC168" i="4" s="1"/>
  <c r="O169" i="4"/>
  <c r="K156" i="4"/>
  <c r="Q156" i="4"/>
  <c r="Y157" i="4"/>
  <c r="AC157" i="4" s="1"/>
  <c r="Z160" i="4" s="1"/>
  <c r="AA160" i="4" s="1"/>
  <c r="O156" i="4"/>
  <c r="M156" i="4"/>
  <c r="AE180" i="4"/>
  <c r="Q181" i="4" s="1"/>
  <c r="W180" i="4"/>
  <c r="L181" i="4" s="1"/>
  <c r="AE179" i="4"/>
  <c r="Q180" i="4" s="1"/>
  <c r="AB190" i="4" l="1"/>
  <c r="G191" i="4" s="1"/>
  <c r="Z140" i="4"/>
  <c r="AA140" i="4" s="1"/>
  <c r="AB140" i="4" s="1"/>
  <c r="G141" i="4" s="1"/>
  <c r="AA107" i="4"/>
  <c r="AA133" i="2"/>
  <c r="AB210" i="4"/>
  <c r="G211" i="4" s="1"/>
  <c r="AE134" i="2"/>
  <c r="Q135" i="2" s="1"/>
  <c r="AE135" i="2"/>
  <c r="Q136" i="2" s="1"/>
  <c r="W135" i="2"/>
  <c r="L136" i="2" s="1"/>
  <c r="Z180" i="4"/>
  <c r="AA180" i="4" s="1"/>
  <c r="AB180" i="4" s="1"/>
  <c r="G181" i="4" s="1"/>
  <c r="Z135" i="2"/>
  <c r="AA135" i="2" s="1"/>
  <c r="AB135" i="2" s="1"/>
  <c r="G136" i="2" s="1"/>
  <c r="Z150" i="4"/>
  <c r="AA150" i="4" s="1"/>
  <c r="AB150" i="4" s="1"/>
  <c r="G151" i="4" s="1"/>
  <c r="W120" i="4"/>
  <c r="L121" i="4" s="1"/>
  <c r="AE120" i="4"/>
  <c r="Q121" i="4" s="1"/>
  <c r="AE119" i="4"/>
  <c r="Q120" i="4" s="1"/>
  <c r="AA128" i="4"/>
  <c r="AC128" i="4" s="1"/>
  <c r="Z130" i="4" s="1"/>
  <c r="AA130" i="4" s="1"/>
  <c r="AB130" i="4" s="1"/>
  <c r="G131" i="4" s="1"/>
  <c r="AB160" i="4"/>
  <c r="G161" i="4" s="1"/>
  <c r="AA122" i="2"/>
  <c r="AC122" i="2" s="1"/>
  <c r="Z125" i="2" s="1"/>
  <c r="AA125" i="2" s="1"/>
  <c r="AB125" i="2" s="1"/>
  <c r="G126" i="2" s="1"/>
  <c r="AC107" i="4"/>
  <c r="Z110" i="4" s="1"/>
  <c r="AA110" i="4" s="1"/>
  <c r="AB110" i="4" s="1"/>
  <c r="G111" i="4" s="1"/>
  <c r="AA123" i="2"/>
  <c r="AA138" i="4"/>
  <c r="AB200" i="4"/>
  <c r="G201" i="4" s="1"/>
  <c r="AA118" i="4"/>
  <c r="AB120" i="4" l="1"/>
  <c r="G121" i="4" s="1"/>
</calcChain>
</file>

<file path=xl/sharedStrings.xml><?xml version="1.0" encoding="utf-8"?>
<sst xmlns="http://schemas.openxmlformats.org/spreadsheetml/2006/main" count="1725" uniqueCount="355">
  <si>
    <t>聖剣伝説 Legend of Mana　　　　ゴーレム作成確認ツール</t>
  </si>
  <si>
    <t>シートの内容</t>
  </si>
  <si>
    <t>説明</t>
  </si>
  <si>
    <t>このシート</t>
  </si>
  <si>
    <t>確認シートA - C</t>
  </si>
  <si>
    <t>ツール本体</t>
  </si>
  <si>
    <t>ボディマスタ</t>
  </si>
  <si>
    <t>ボディの各パラメータのマスタデータ</t>
  </si>
  <si>
    <t>主原料マスタ</t>
  </si>
  <si>
    <t>主原料毎によるロジックブロック関連のパラメータのマスタデータ</t>
  </si>
  <si>
    <t>ロジックの形状</t>
  </si>
  <si>
    <t>ロジックブロックの形状のマスタデータ</t>
  </si>
  <si>
    <t>ロジックマスタ</t>
  </si>
  <si>
    <t>ロジックブロックの各パラメータのマスタデータ</t>
  </si>
  <si>
    <t>ロジックテーブル</t>
  </si>
  <si>
    <t>系統の組み合わせでできるロジックブロックのテーブルデータ</t>
  </si>
  <si>
    <t>用途</t>
  </si>
  <si>
    <t>聖剣伝説 Legend of Mana のボディとロジックブロック作成時の性能を確認するツールです。</t>
  </si>
  <si>
    <t>ゴーレムは作成時の武具の性能と系統、および使用した武具の数で性能が決まります。</t>
  </si>
  <si>
    <t>ロジックブロックは作成時の武具・楽器の性能と系統で性能が決まります。</t>
  </si>
  <si>
    <t>使い方</t>
  </si>
  <si>
    <t xml:space="preserve">「確認シート」に必要な値を入力します。 </t>
  </si>
  <si>
    <t>「計算シート」シートは3つ用意してありますが、御覧の通り、計算機のフォーマットが</t>
  </si>
  <si>
    <t>違うだけで、勝手については特に違いはありません。</t>
  </si>
  <si>
    <t>このシートを増やすも減らすも自由です。</t>
  </si>
  <si>
    <t>値の入力が必要な欄はこの背景色の部分のみです。</t>
  </si>
  <si>
    <t>ゴーレムのボディを作成する場合は、作成に使用する武具の性能を入れます。</t>
  </si>
  <si>
    <t>入力箇所が多くてやや面倒ですが、頑張ってください。(笑</t>
  </si>
  <si>
    <t>ロジックブロックを作成する場合は、生成に使用する武具および楽器の性能を入れます。</t>
  </si>
  <si>
    <t>なお、系統同士の組み合わせについては、ゲーム上の仕様の都合により、有効か無効かあります。</t>
  </si>
  <si>
    <t>そのため、「使用するアイテムの性能2」の「系統」の項目については、</t>
  </si>
  <si>
    <t>先に「使用するアイテムの性能1」の系統の項目を選んでから選ぶようにしてください。</t>
  </si>
  <si>
    <t>また、選んだ系統が武器の系統の場合については、防御力云々の項目の変更は不要です。</t>
  </si>
  <si>
    <t>どういうわけか、入力フォーマットをコピーしても、条件付き書式までコピーされないようなので、</t>
  </si>
  <si>
    <t>対策については諦めました。</t>
  </si>
  <si>
    <t>ちなみに、ロジックブロックの場合は、攻撃力や防御力を入れなくても、完成するロジックブロックは</t>
  </si>
  <si>
    <t>確認可能です。威力修正値(名前の末尾に「＋○」とつくもの)が表示されなくなるだけです。</t>
  </si>
  <si>
    <t>ゲーム上の仕様</t>
  </si>
  <si>
    <t>基本的に、アルティマニアなどにも記載のある通りの内容です。</t>
  </si>
  <si>
    <t>まずはゴーレムのボディについて。</t>
  </si>
  <si>
    <t>攻撃力は武器の攻撃力がそのまま値となります。(10～200)</t>
  </si>
  <si>
    <t>防御力も防具の各防御力(複数なら加算)がそのまま値となります(0～99)。</t>
  </si>
  <si>
    <t>HPは攻撃力(200まで加算対象)と防御力の合計を合わせて2.5倍した値となります。(50～999)</t>
  </si>
  <si>
    <t>力や技などの値は各装備の値の5倍と20を合わせた値になります。(20～99)</t>
  </si>
  <si>
    <t>攻撃タイプは武器の系統に依存します。これにより、使用可能なロジックブロックも決まります。</t>
  </si>
  <si>
    <t>ロジックボードのサイズ・故障率は防具を使用した数によって決定します。</t>
  </si>
  <si>
    <t>ボードサイズ・故障率については「ボディマスタ」シートを参照です。</t>
  </si>
  <si>
    <t>カラーはデフォルトでは「ノーマル」ですが、別途カラーを変えることで後付けで変更可能です。</t>
  </si>
  <si>
    <t>カラーについてはこれ以上は触れません。</t>
  </si>
  <si>
    <t>なお、ボディのほうは作成しても、解体して元の武具を取り戻すことができます。</t>
  </si>
  <si>
    <t>続いて、ロジックブロックについて。</t>
  </si>
  <si>
    <t>組み合わせたアイテムの系統によってロジックブロックの種類(発動技)が決まります。</t>
  </si>
  <si>
    <t>例えば、同じハンマーを使うにしても、ハンマーと兜なら「トゲ鉄球雨あられ」ですが、</t>
  </si>
  <si>
    <t>ハンマーとリングなら「まんまるドロップ」という具合です。</t>
  </si>
  <si>
    <t>詳細は「ロジックテーブル」シートをご覧ください。</t>
  </si>
  <si>
    <t>また、ロジックブロックには作成時に形状がそれぞれ設定され、</t>
  </si>
  <si>
    <t>複数のロジックボードに設定する際には、そのボードの枠内に収めないといけません。</t>
  </si>
  <si>
    <t>そしてその形状も、作成時に組み合わせたアイテムによって決まります。</t>
  </si>
  <si>
    <t>形状は、組み合わせたアイテムの主原料によって決まり、主原料毎に内部的に</t>
  </si>
  <si>
    <t>数値が設定されています。</t>
  </si>
  <si>
    <t>その二つのアイテムの主原料の数値の合計により、形状が決まっています。</t>
  </si>
  <si>
    <t>それについては「ロジック形状」シートをご覧ください。</t>
  </si>
  <si>
    <t>威力修正値は攻撃を行うロジックブロック(基礎威力の設定があるもの)にのみ付与されます。</t>
  </si>
  <si>
    <t>威力修正値はアイテムの攻撃力や防御力合計を足して17で割った値となります。</t>
  </si>
  <si>
    <t>(小数点以下切り捨てで値の範囲は0～9)</t>
  </si>
  <si>
    <t>変更履歴</t>
  </si>
  <si>
    <t>フォントをメイリオさんに変更。</t>
  </si>
  <si>
    <t>初版。改定正規版一斉公開に伴い、このブックも改定正規版として公開。</t>
  </si>
  <si>
    <t>当初予定していた入力フォーマットへの条件付き書式は削除。</t>
  </si>
  <si>
    <t>使用しない</t>
  </si>
  <si>
    <t>--------</t>
  </si>
  <si>
    <t>使用する</t>
  </si>
  <si>
    <t>防御力合計で計算</t>
  </si>
  <si>
    <t>防御力個別入力で計算</t>
  </si>
  <si>
    <t>聖剣伝説 Legend of Mana　　　　ゴーレム作成確認ツール -Type.A</t>
  </si>
  <si>
    <t>ゴーレム</t>
  </si>
  <si>
    <t>攻撃力</t>
  </si>
  <si>
    <t>タイプ</t>
  </si>
  <si>
    <t>使用する武器の性能</t>
  </si>
  <si>
    <t>ハンマー</t>
  </si>
  <si>
    <t>使用する防具の性能</t>
  </si>
  <si>
    <t>武器</t>
  </si>
  <si>
    <t>防具1</t>
  </si>
  <si>
    <t>防具2</t>
  </si>
  <si>
    <t>防具3</t>
  </si>
  <si>
    <t>合計</t>
  </si>
  <si>
    <t>作成フラグ</t>
  </si>
  <si>
    <t>叩防</t>
  </si>
  <si>
    <t>斬防</t>
  </si>
  <si>
    <t>突防</t>
  </si>
  <si>
    <t>魔防</t>
  </si>
  <si>
    <t>-</t>
  </si>
  <si>
    <t>力</t>
  </si>
  <si>
    <t>技</t>
  </si>
  <si>
    <t>防御</t>
  </si>
  <si>
    <t>魔法</t>
  </si>
  <si>
    <t>HP計算</t>
  </si>
  <si>
    <t>体力</t>
  </si>
  <si>
    <t>精神</t>
  </si>
  <si>
    <t>魅力</t>
  </si>
  <si>
    <t>運</t>
  </si>
  <si>
    <t>×2.5</t>
  </si>
  <si>
    <t>Limit</t>
  </si>
  <si>
    <t>完成パラメータ</t>
  </si>
  <si>
    <t>防具の数</t>
  </si>
  <si>
    <t>HP</t>
  </si>
  <si>
    <t>ロジックボードサイズ</t>
  </si>
  <si>
    <t>攻撃タイプ</t>
  </si>
  <si>
    <t>故障率</t>
  </si>
  <si>
    <t>ボード</t>
  </si>
  <si>
    <t>ロジック</t>
  </si>
  <si>
    <t>インデックス1</t>
  </si>
  <si>
    <t>使用するアイテムの性能1</t>
  </si>
  <si>
    <t>系統</t>
  </si>
  <si>
    <t>全身鎧</t>
  </si>
  <si>
    <t>主原料</t>
  </si>
  <si>
    <t>アストリア銀</t>
  </si>
  <si>
    <t>インデックス2</t>
  </si>
  <si>
    <t>数値</t>
  </si>
  <si>
    <t>防御の場合</t>
  </si>
  <si>
    <t>適用値</t>
  </si>
  <si>
    <t>形状計算用</t>
  </si>
  <si>
    <t>使用するアイテムの性能2</t>
  </si>
  <si>
    <t>選択1</t>
  </si>
  <si>
    <t>盾_(有効)</t>
  </si>
  <si>
    <t>ワニ革</t>
  </si>
  <si>
    <t>選択2</t>
  </si>
  <si>
    <t>基礎威力</t>
  </si>
  <si>
    <t>粗値</t>
  </si>
  <si>
    <t>表示用</t>
  </si>
  <si>
    <t>完成ロジックブロック</t>
  </si>
  <si>
    <t>ブロック形状</t>
  </si>
  <si>
    <t>威力修正</t>
  </si>
  <si>
    <t>ロジックブロック</t>
  </si>
  <si>
    <t>ペンダント_(有効)</t>
  </si>
  <si>
    <t>聖剣伝説 Legend of Mana　　　　ゴーレム作成確認ツール -Type.B</t>
  </si>
  <si>
    <t>両手剣</t>
  </si>
  <si>
    <t>槍</t>
  </si>
  <si>
    <t>聖剣伝説 Legend of Mana　　　　ゴーレム作成確認ツール -Type.C</t>
  </si>
  <si>
    <t>インデックス3</t>
  </si>
  <si>
    <t>選択3</t>
  </si>
  <si>
    <t>兜_(有効)</t>
  </si>
  <si>
    <t>化石</t>
  </si>
  <si>
    <t>選択4</t>
  </si>
  <si>
    <t>インデックス4</t>
  </si>
  <si>
    <t>選択5</t>
  </si>
  <si>
    <t>選択6</t>
  </si>
  <si>
    <t>盾</t>
  </si>
  <si>
    <t>メノス銅</t>
  </si>
  <si>
    <t>インデックス5</t>
  </si>
  <si>
    <t>選択7</t>
  </si>
  <si>
    <t>短剣_(無効)</t>
  </si>
  <si>
    <t>選択8</t>
  </si>
  <si>
    <t>小手</t>
  </si>
  <si>
    <t>インデックス6</t>
  </si>
  <si>
    <t>選択9</t>
  </si>
  <si>
    <t>小手_(無効)</t>
  </si>
  <si>
    <t>選択10</t>
  </si>
  <si>
    <t>短剣</t>
  </si>
  <si>
    <t>インデックス7</t>
  </si>
  <si>
    <t>選択11</t>
  </si>
  <si>
    <t>短剣_(有効)</t>
  </si>
  <si>
    <t>選択12</t>
  </si>
  <si>
    <t>インデックス8</t>
  </si>
  <si>
    <t>選択13</t>
  </si>
  <si>
    <t>選択14</t>
  </si>
  <si>
    <t>インデックス9</t>
  </si>
  <si>
    <t>選択15</t>
  </si>
  <si>
    <t>選択16</t>
  </si>
  <si>
    <t>インデックス10</t>
  </si>
  <si>
    <t>選択17</t>
  </si>
  <si>
    <t>選択18</t>
  </si>
  <si>
    <t>インデックス11</t>
  </si>
  <si>
    <t>選択19</t>
  </si>
  <si>
    <t>選択20</t>
  </si>
  <si>
    <t>インデックス12</t>
  </si>
  <si>
    <t>選択21</t>
  </si>
  <si>
    <t>選択22</t>
  </si>
  <si>
    <t>聖剣伝説 Legend of Mana　　　　ゴーレムボディ用マスタ</t>
  </si>
  <si>
    <t>武器系統毎の攻撃タイプ</t>
  </si>
  <si>
    <t>防具の使用個数による各パラメータ</t>
  </si>
  <si>
    <t>防具</t>
  </si>
  <si>
    <t>ノーマル</t>
  </si>
  <si>
    <t>4×4</t>
  </si>
  <si>
    <t>スピア</t>
  </si>
  <si>
    <t>片手剣</t>
  </si>
  <si>
    <t>ギロチン</t>
  </si>
  <si>
    <t>5×5</t>
  </si>
  <si>
    <t>片手斧</t>
  </si>
  <si>
    <t>6×6</t>
  </si>
  <si>
    <t>チェーンソー</t>
  </si>
  <si>
    <t>両手斧</t>
  </si>
  <si>
    <t>※故障率は百分率の値</t>
  </si>
  <si>
    <t>※ボード：ロジックボードサイズ</t>
  </si>
  <si>
    <t>杖</t>
  </si>
  <si>
    <t>ナックル</t>
  </si>
  <si>
    <t>パンチ</t>
  </si>
  <si>
    <t>ヌンチャク</t>
  </si>
  <si>
    <t>弓矢</t>
  </si>
  <si>
    <t>ショットガン</t>
  </si>
  <si>
    <t>聖剣伝説 Legend of Mana　　　　ゴーレム作成用主原料マスタ</t>
  </si>
  <si>
    <t>主原料毎の各パラメータ</t>
  </si>
  <si>
    <t>種類</t>
  </si>
  <si>
    <t>形状番号</t>
  </si>
  <si>
    <t>金属</t>
  </si>
  <si>
    <t>フォルセナ鉄</t>
  </si>
  <si>
    <t>グランス鋼鉄</t>
  </si>
  <si>
    <t>ミスリル銀</t>
  </si>
  <si>
    <t>パイゼル金</t>
  </si>
  <si>
    <t>イシュ白金</t>
  </si>
  <si>
    <t>ロリマー聖鉄</t>
  </si>
  <si>
    <t>アルテナ合金</t>
  </si>
  <si>
    <t>マイア鉛</t>
  </si>
  <si>
    <t>オリハルコン</t>
  </si>
  <si>
    <t>かしの木</t>
  </si>
  <si>
    <t>木材</t>
  </si>
  <si>
    <t>ひいらぎの木</t>
  </si>
  <si>
    <t>バオバブの木</t>
  </si>
  <si>
    <t>黒檀</t>
  </si>
  <si>
    <t>トネリコの木</t>
  </si>
  <si>
    <t>ディオールの木</t>
  </si>
  <si>
    <t>やどりぎ</t>
  </si>
  <si>
    <t>化石樹</t>
  </si>
  <si>
    <t>大理石</t>
  </si>
  <si>
    <t>石材</t>
  </si>
  <si>
    <t>黒曜石</t>
  </si>
  <si>
    <t>ペダン石</t>
  </si>
  <si>
    <t>ガイアの涙</t>
  </si>
  <si>
    <t>獣の革</t>
  </si>
  <si>
    <t>皮革</t>
  </si>
  <si>
    <t>鉄甲獣の革</t>
  </si>
  <si>
    <t>飛竜の革</t>
  </si>
  <si>
    <t>魚鱗</t>
  </si>
  <si>
    <t>鱗</t>
  </si>
  <si>
    <t>トカゲの鱗</t>
  </si>
  <si>
    <t>ヘビの鱗</t>
  </si>
  <si>
    <t>竜鱗</t>
  </si>
  <si>
    <t>獣の骨</t>
  </si>
  <si>
    <t>骨</t>
  </si>
  <si>
    <t>象牙</t>
  </si>
  <si>
    <t>呪われた骨</t>
  </si>
  <si>
    <t>トップル木綿</t>
  </si>
  <si>
    <t>布</t>
  </si>
  <si>
    <t>サルタン絹布</t>
  </si>
  <si>
    <t>ジャドヘンプ</t>
  </si>
  <si>
    <t>アルテナフェルト</t>
  </si>
  <si>
    <t>ジャコビニ隕石</t>
  </si>
  <si>
    <t>隕石</t>
  </si>
  <si>
    <t>ハレー隕石</t>
  </si>
  <si>
    <t>アンク隕石</t>
  </si>
  <si>
    <t>ヴィネック隕石</t>
  </si>
  <si>
    <t>タトル隕石</t>
  </si>
  <si>
    <t>ネメシス隕石</t>
  </si>
  <si>
    <t>ビエラ隕石</t>
  </si>
  <si>
    <t>スウィフト隕石</t>
  </si>
  <si>
    <t>アダマンタイト</t>
  </si>
  <si>
    <t>その他</t>
  </si>
  <si>
    <t>フルメタル</t>
  </si>
  <si>
    <t>サンゴ</t>
  </si>
  <si>
    <t>甲羅</t>
  </si>
  <si>
    <t>貝殻</t>
  </si>
  <si>
    <t>エメラルド</t>
  </si>
  <si>
    <t>パール</t>
  </si>
  <si>
    <t>ラピスラズリ</t>
  </si>
  <si>
    <t>聖剣伝説 Legend of Mana　　　　ロジックの形状</t>
  </si>
  <si>
    <t>形状番号の合計によるロジックの形状</t>
  </si>
  <si>
    <t>形状</t>
  </si>
  <si>
    <t>□□□□</t>
  </si>
  <si>
    <t>■□□□</t>
  </si>
  <si>
    <t>■■□□</t>
  </si>
  <si>
    <t>■■■□</t>
  </si>
  <si>
    <t>■■■■</t>
  </si>
  <si>
    <t>□□■□</t>
  </si>
  <si>
    <t>□■□□</t>
  </si>
  <si>
    <t>□■■□</t>
  </si>
  <si>
    <t>聖剣伝説 Legend of Mana　　　　ロジックデータマスタ</t>
  </si>
  <si>
    <t>ロジックのデータ</t>
  </si>
  <si>
    <t>チェインスピア</t>
  </si>
  <si>
    <t>C</t>
  </si>
  <si>
    <t>チェインドリル</t>
  </si>
  <si>
    <t>ドリルロケット</t>
  </si>
  <si>
    <t>B</t>
  </si>
  <si>
    <t>チェーンギロチン</t>
  </si>
  <si>
    <t>竜巻ギロチン</t>
  </si>
  <si>
    <t>チェーンソー回し</t>
  </si>
  <si>
    <t>チェーンソーR</t>
  </si>
  <si>
    <t>ピコピコハンマー</t>
  </si>
  <si>
    <t>トゲ鉄球アッパー</t>
  </si>
  <si>
    <t>トゲ鉄球雨あられ</t>
  </si>
  <si>
    <t>大車輪トゲ鉄球</t>
  </si>
  <si>
    <t>ナックルパンチ</t>
  </si>
  <si>
    <t>爆裂パンチ</t>
  </si>
  <si>
    <t>ロケットパンチ</t>
  </si>
  <si>
    <t>マシンガン</t>
  </si>
  <si>
    <t>ネットショット</t>
  </si>
  <si>
    <t>待機</t>
  </si>
  <si>
    <t>移動・待機</t>
  </si>
  <si>
    <t>空中待機</t>
  </si>
  <si>
    <t>バックダッシュ</t>
  </si>
  <si>
    <t>ロケットダッシュ</t>
  </si>
  <si>
    <t>トゲボディスピン</t>
  </si>
  <si>
    <t>ガードトゲボディ</t>
  </si>
  <si>
    <t>チャージ</t>
  </si>
  <si>
    <t>汎用</t>
  </si>
  <si>
    <t>バリア</t>
  </si>
  <si>
    <t>セルフバーニング</t>
  </si>
  <si>
    <t>まんまるドロップ</t>
  </si>
  <si>
    <t>放電</t>
  </si>
  <si>
    <t>核自爆</t>
  </si>
  <si>
    <t>残HP</t>
  </si>
  <si>
    <t>パルスアタック</t>
  </si>
  <si>
    <t>どっきりメカ</t>
  </si>
  <si>
    <t>ビット</t>
  </si>
  <si>
    <t>Wビット</t>
  </si>
  <si>
    <t>ビットバリア</t>
  </si>
  <si>
    <t>火炎放射</t>
  </si>
  <si>
    <t>旋風火炎放射</t>
  </si>
  <si>
    <t>ボンバー</t>
  </si>
  <si>
    <t>花火ボンバー</t>
  </si>
  <si>
    <t>ころがしボム</t>
  </si>
  <si>
    <t>ばらまきボム</t>
  </si>
  <si>
    <t>ナパームボム</t>
  </si>
  <si>
    <t>ミサイル</t>
  </si>
  <si>
    <t>多弾頭ミサイル</t>
  </si>
  <si>
    <t>ロケットミサイル</t>
  </si>
  <si>
    <t>ビーム</t>
  </si>
  <si>
    <t>ウェーブビーム</t>
  </si>
  <si>
    <t>拡散ビーム</t>
  </si>
  <si>
    <t>魔貫砲</t>
  </si>
  <si>
    <t>波動砲</t>
  </si>
  <si>
    <t>拡散波動砲</t>
  </si>
  <si>
    <t>A</t>
  </si>
  <si>
    <t>聖剣伝説 Legend of Mana　　　　ロジックテーブルマスタ</t>
  </si>
  <si>
    <t>ロジックの組み合わせテーブル</t>
  </si>
  <si>
    <t>楽器</t>
  </si>
  <si>
    <t>武
器</t>
  </si>
  <si>
    <t>防
具</t>
  </si>
  <si>
    <t>兜</t>
  </si>
  <si>
    <t>帽子</t>
  </si>
  <si>
    <t>鎧</t>
  </si>
  <si>
    <t>ローブ</t>
  </si>
  <si>
    <t>ブーツ</t>
  </si>
  <si>
    <t>サンダル</t>
  </si>
  <si>
    <t>マント</t>
  </si>
  <si>
    <t>リング</t>
  </si>
  <si>
    <t>ペンダント</t>
  </si>
  <si>
    <t>楽
器</t>
  </si>
  <si>
    <t>ハープ</t>
  </si>
  <si>
    <t>マリンバ</t>
  </si>
  <si>
    <t>フルート</t>
  </si>
  <si>
    <t>ドラム</t>
  </si>
  <si>
    <t>ほかのブック同様にバージョンの表記を変更しました。</t>
    <rPh sb="6" eb="8">
      <t>ドウヨウ</t>
    </rPh>
    <rPh sb="15" eb="17">
      <t>ヒョウキ</t>
    </rPh>
    <rPh sb="18" eb="20">
      <t>ヘンコウ</t>
    </rPh>
    <phoneticPr fontId="7"/>
  </si>
  <si>
    <t>Ver.1.2</t>
    <phoneticPr fontId="8"/>
  </si>
  <si>
    <t>Ver.1.1</t>
    <phoneticPr fontId="8"/>
  </si>
  <si>
    <t>Ver.1.0</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</si>
</sst>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charset val="128"/>
      <scheme val="minor"/>
    </font>
    <font>
      <sz val="11"/>
      <color theme="1"/>
      <name val="Meiryo UI"/>
      <family val="3"/>
      <charset val="128"/>
    </font>
    <font>
      <sz val="11"/>
      <color theme="0"/>
      <name val="Meiryo UI"/>
      <family val="3"/>
      <charset val="128"/>
    </font>
    <font>
      <sz val="11"/>
      <color theme="1" tint="0.34998626667073579"/>
      <name val="Meiryo UI"/>
      <family val="3"/>
      <charset val="128"/>
    </font>
    <font>
      <sz val="11"/>
      <color theme="0"/>
      <name val="Meiryo UI"/>
      <family val="3"/>
      <charset val="128"/>
    </font>
    <font>
      <sz val="11"/>
      <name val="Meiryo UI"/>
      <family val="3"/>
      <charset val="128"/>
    </font>
    <font>
      <b/>
      <sz val="11"/>
      <color rgb="FFFF0000"/>
      <name val="Meiryo UI"/>
      <family val="3"/>
      <charset val="128"/>
    </font>
    <font>
      <b/>
      <sz val="11"/>
      <color rgb="FF3F3F3F"/>
      <name val="ＭＳ Ｐゴシック"/>
      <family val="3"/>
      <charset val="128"/>
      <scheme val="minor"/>
    </font>
    <font>
      <sz val="6"/>
      <name val="ＭＳ Ｐゴシック"/>
      <family val="3"/>
      <charset val="128"/>
      <scheme val="minor"/>
    </font>
  </fonts>
  <fills count="22">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499984740745262"/>
        <bgColor indexed="64"/>
      </patternFill>
    </fill>
    <fill>
      <patternFill patternType="solid">
        <fgColor theme="5" tint="0.79995117038483843"/>
        <bgColor indexed="64"/>
      </patternFill>
    </fill>
    <fill>
      <patternFill patternType="solid">
        <fgColor theme="8" tint="0.59999389629810485"/>
        <bgColor indexed="64"/>
      </patternFill>
    </fill>
    <fill>
      <patternFill patternType="solid">
        <fgColor theme="8" tint="0.79995117038483843"/>
        <bgColor indexed="64"/>
      </patternFill>
    </fill>
    <fill>
      <patternFill patternType="solid">
        <fgColor theme="7" tint="0.59999389629810485"/>
        <bgColor indexed="64"/>
      </patternFill>
    </fill>
    <fill>
      <patternFill patternType="solid">
        <fgColor theme="7" tint="0.79995117038483843"/>
        <bgColor indexed="64"/>
      </patternFill>
    </fill>
    <fill>
      <patternFill patternType="solid">
        <fgColor theme="9" tint="0.79995117038483843"/>
        <bgColor indexed="64"/>
      </patternFill>
    </fill>
    <fill>
      <patternFill patternType="solid">
        <fgColor rgb="FF7030A0"/>
        <bgColor indexed="64"/>
      </patternFill>
    </fill>
    <fill>
      <patternFill patternType="solid">
        <fgColor theme="2" tint="-0.89996032593768116"/>
        <bgColor indexed="64"/>
      </patternFill>
    </fill>
    <fill>
      <patternFill patternType="solid">
        <fgColor theme="5" tint="-0.249977111117893"/>
        <bgColor indexed="64"/>
      </patternFill>
    </fill>
    <fill>
      <patternFill patternType="solid">
        <fgColor indexed="9"/>
        <bgColor indexed="64"/>
      </patternFill>
    </fill>
    <fill>
      <patternFill patternType="solid">
        <fgColor theme="5" tint="0.39994506668294322"/>
        <bgColor indexed="64"/>
      </patternFill>
    </fill>
  </fills>
  <borders count="16">
    <border>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diagonal/>
    </border>
  </borders>
  <cellStyleXfs count="1">
    <xf numFmtId="0" fontId="0" fillId="0" borderId="0">
      <alignment vertical="center"/>
    </xf>
  </cellStyleXfs>
  <cellXfs count="143">
    <xf numFmtId="0" fontId="0" fillId="0" borderId="0" xfId="0">
      <alignment vertical="center"/>
    </xf>
    <xf numFmtId="0" fontId="1" fillId="0" borderId="0" xfId="0" applyFont="1">
      <alignment vertical="center"/>
    </xf>
    <xf numFmtId="0" fontId="1" fillId="0" borderId="0" xfId="0" applyFont="1">
      <alignment vertical="center"/>
    </xf>
    <xf numFmtId="0" fontId="2" fillId="3" borderId="3" xfId="0" applyFont="1" applyFill="1" applyBorder="1">
      <alignment vertical="center"/>
    </xf>
    <xf numFmtId="0" fontId="1" fillId="2" borderId="5" xfId="0" applyFont="1" applyFill="1" applyBorder="1">
      <alignment vertical="center"/>
    </xf>
    <xf numFmtId="0" fontId="1" fillId="2" borderId="6" xfId="0" applyFont="1" applyFill="1" applyBorder="1">
      <alignment vertical="center"/>
    </xf>
    <xf numFmtId="0" fontId="3" fillId="4" borderId="8" xfId="0" applyFont="1" applyFill="1" applyBorder="1">
      <alignment vertical="center"/>
    </xf>
    <xf numFmtId="0" fontId="1" fillId="2" borderId="9" xfId="0" applyFont="1" applyFill="1" applyBorder="1">
      <alignment vertical="center"/>
    </xf>
    <xf numFmtId="0" fontId="2" fillId="5" borderId="3" xfId="0" applyFont="1" applyFill="1" applyBorder="1">
      <alignment vertical="center"/>
    </xf>
    <xf numFmtId="0" fontId="2" fillId="6" borderId="3" xfId="0" applyFont="1" applyFill="1" applyBorder="1">
      <alignment vertical="center"/>
    </xf>
    <xf numFmtId="0" fontId="2" fillId="6" borderId="9" xfId="0" applyFont="1" applyFill="1" applyBorder="1">
      <alignment vertical="center"/>
    </xf>
    <xf numFmtId="0" fontId="1" fillId="2" borderId="8" xfId="0" applyFont="1" applyFill="1" applyBorder="1">
      <alignment vertical="center"/>
    </xf>
    <xf numFmtId="0" fontId="2" fillId="3" borderId="8" xfId="0" applyFont="1" applyFill="1" applyBorder="1">
      <alignment vertical="center"/>
    </xf>
    <xf numFmtId="0" fontId="1" fillId="7" borderId="8" xfId="0" applyFont="1" applyFill="1" applyBorder="1">
      <alignment vertical="center"/>
    </xf>
    <xf numFmtId="0" fontId="4" fillId="5" borderId="8" xfId="0" applyFont="1" applyFill="1" applyBorder="1">
      <alignment vertical="center"/>
    </xf>
    <xf numFmtId="0" fontId="1" fillId="8" borderId="8" xfId="0" applyFont="1" applyFill="1" applyBorder="1">
      <alignment vertical="center"/>
    </xf>
    <xf numFmtId="0" fontId="4" fillId="6" borderId="8" xfId="0" applyFont="1" applyFill="1" applyBorder="1">
      <alignment vertical="center"/>
    </xf>
    <xf numFmtId="0" fontId="1" fillId="9" borderId="8" xfId="0" applyFont="1" applyFill="1" applyBorder="1">
      <alignment vertical="center"/>
    </xf>
    <xf numFmtId="0" fontId="2" fillId="10" borderId="8" xfId="0" applyFont="1" applyFill="1" applyBorder="1" applyAlignment="1">
      <alignment vertical="center"/>
    </xf>
    <xf numFmtId="0" fontId="4" fillId="10" borderId="8" xfId="0" applyFont="1" applyFill="1" applyBorder="1">
      <alignment vertical="center"/>
    </xf>
    <xf numFmtId="0" fontId="4" fillId="10" borderId="10" xfId="0" applyFont="1" applyFill="1" applyBorder="1">
      <alignment vertical="center"/>
    </xf>
    <xf numFmtId="0" fontId="5" fillId="11" borderId="10" xfId="0" applyFont="1" applyFill="1" applyBorder="1" applyAlignment="1">
      <alignment horizontal="center" vertical="center" wrapText="1"/>
    </xf>
    <xf numFmtId="0" fontId="4" fillId="10" borderId="6" xfId="0" applyFont="1" applyFill="1" applyBorder="1">
      <alignment vertical="center"/>
    </xf>
    <xf numFmtId="0" fontId="5" fillId="11" borderId="6" xfId="0" applyFont="1" applyFill="1" applyBorder="1" applyAlignment="1">
      <alignment horizontal="center" vertical="center" wrapText="1"/>
    </xf>
    <xf numFmtId="0" fontId="4" fillId="10" borderId="7" xfId="0" applyFont="1" applyFill="1" applyBorder="1">
      <alignment vertical="center"/>
    </xf>
    <xf numFmtId="0" fontId="5" fillId="11" borderId="7" xfId="0" applyFont="1" applyFill="1" applyBorder="1" applyAlignment="1">
      <alignment horizontal="center" vertical="center" wrapText="1"/>
    </xf>
    <xf numFmtId="0" fontId="1" fillId="12" borderId="8" xfId="0" applyFont="1" applyFill="1" applyBorder="1" applyAlignment="1">
      <alignment vertical="center"/>
    </xf>
    <xf numFmtId="0" fontId="1" fillId="12" borderId="8" xfId="0" applyFont="1" applyFill="1" applyBorder="1">
      <alignment vertical="center"/>
    </xf>
    <xf numFmtId="0" fontId="1" fillId="13" borderId="8" xfId="0" applyFont="1" applyFill="1" applyBorder="1">
      <alignment vertical="center"/>
    </xf>
    <xf numFmtId="0" fontId="1" fillId="13" borderId="8" xfId="0" applyFont="1" applyFill="1" applyBorder="1">
      <alignment vertical="center"/>
    </xf>
    <xf numFmtId="0" fontId="1" fillId="14" borderId="8" xfId="0" applyFont="1" applyFill="1" applyBorder="1">
      <alignment vertical="center"/>
    </xf>
    <xf numFmtId="0" fontId="1" fillId="15" borderId="8" xfId="0" applyFont="1" applyFill="1" applyBorder="1">
      <alignment vertical="center"/>
    </xf>
    <xf numFmtId="0" fontId="1" fillId="7" borderId="8" xfId="0" applyFont="1" applyFill="1" applyBorder="1">
      <alignment vertical="center"/>
    </xf>
    <xf numFmtId="0" fontId="1" fillId="16" borderId="8" xfId="0" applyFont="1" applyFill="1" applyBorder="1">
      <alignment vertical="center"/>
    </xf>
    <xf numFmtId="0" fontId="1" fillId="16" borderId="8" xfId="0" applyFont="1" applyFill="1" applyBorder="1" applyAlignment="1">
      <alignment horizontal="right" vertical="center"/>
    </xf>
    <xf numFmtId="0" fontId="1" fillId="9" borderId="1" xfId="0" applyFont="1" applyFill="1" applyBorder="1">
      <alignment vertical="center"/>
    </xf>
    <xf numFmtId="0" fontId="1" fillId="9" borderId="11" xfId="0" applyFont="1" applyFill="1" applyBorder="1">
      <alignment vertical="center"/>
    </xf>
    <xf numFmtId="0" fontId="1" fillId="9" borderId="12" xfId="0" applyFont="1" applyFill="1" applyBorder="1">
      <alignment vertical="center"/>
    </xf>
    <xf numFmtId="0" fontId="1" fillId="7" borderId="13" xfId="0" applyFont="1" applyFill="1" applyBorder="1">
      <alignment vertical="center"/>
    </xf>
    <xf numFmtId="0" fontId="4" fillId="17" borderId="3" xfId="0" applyFont="1" applyFill="1" applyBorder="1" applyAlignment="1" applyProtection="1">
      <alignment vertical="center"/>
      <protection locked="0"/>
    </xf>
    <xf numFmtId="0" fontId="1" fillId="9" borderId="4" xfId="0" applyFont="1" applyFill="1" applyBorder="1">
      <alignment vertical="center"/>
    </xf>
    <xf numFmtId="0" fontId="1" fillId="7" borderId="13" xfId="0" applyFont="1" applyFill="1" applyBorder="1" applyAlignment="1">
      <alignment vertical="center"/>
    </xf>
    <xf numFmtId="0" fontId="1" fillId="7" borderId="3" xfId="0" applyFont="1" applyFill="1" applyBorder="1">
      <alignment vertical="center"/>
    </xf>
    <xf numFmtId="0" fontId="1" fillId="13" borderId="3" xfId="0" applyFont="1" applyFill="1" applyBorder="1" applyAlignment="1">
      <alignment vertical="center"/>
    </xf>
    <xf numFmtId="0" fontId="1" fillId="9" borderId="11" xfId="0" applyFont="1" applyFill="1" applyBorder="1" applyAlignment="1">
      <alignment vertical="center"/>
    </xf>
    <xf numFmtId="0" fontId="1" fillId="7" borderId="9" xfId="0" applyFont="1" applyFill="1" applyBorder="1">
      <alignment vertical="center"/>
    </xf>
    <xf numFmtId="0" fontId="4" fillId="17" borderId="9" xfId="0" applyFont="1" applyFill="1" applyBorder="1" applyProtection="1">
      <alignment vertical="center"/>
      <protection locked="0"/>
    </xf>
    <xf numFmtId="0" fontId="1" fillId="7" borderId="3" xfId="0" applyFont="1" applyFill="1" applyBorder="1">
      <alignment vertical="center"/>
    </xf>
    <xf numFmtId="0" fontId="4" fillId="17" borderId="3" xfId="0" applyFont="1" applyFill="1" applyBorder="1" applyProtection="1">
      <alignment vertical="center"/>
      <protection locked="0"/>
    </xf>
    <xf numFmtId="0" fontId="1" fillId="7" borderId="1" xfId="0" applyFont="1" applyFill="1" applyBorder="1">
      <alignment vertical="center"/>
    </xf>
    <xf numFmtId="0" fontId="1" fillId="7" borderId="11" xfId="0" applyFont="1" applyFill="1" applyBorder="1">
      <alignment vertical="center"/>
    </xf>
    <xf numFmtId="0" fontId="1" fillId="13" borderId="11" xfId="0" applyFont="1" applyFill="1" applyBorder="1" applyAlignment="1">
      <alignment vertical="center"/>
    </xf>
    <xf numFmtId="0" fontId="1" fillId="13" borderId="3" xfId="0" applyFont="1" applyFill="1" applyBorder="1">
      <alignment vertical="center"/>
    </xf>
    <xf numFmtId="0" fontId="1" fillId="7" borderId="4" xfId="0" applyFont="1" applyFill="1" applyBorder="1">
      <alignment vertical="center"/>
    </xf>
    <xf numFmtId="0" fontId="1" fillId="7" borderId="14" xfId="0" applyFont="1" applyFill="1" applyBorder="1">
      <alignment vertical="center"/>
    </xf>
    <xf numFmtId="0" fontId="1" fillId="13" borderId="14" xfId="0" applyFont="1" applyFill="1" applyBorder="1" applyAlignment="1">
      <alignment vertical="center"/>
    </xf>
    <xf numFmtId="0" fontId="1" fillId="9" borderId="2" xfId="0" applyFont="1" applyFill="1" applyBorder="1">
      <alignment vertical="center"/>
    </xf>
    <xf numFmtId="0" fontId="1" fillId="13" borderId="11" xfId="0" applyFont="1" applyFill="1" applyBorder="1" applyAlignment="1">
      <alignment horizontal="center" vertical="center"/>
    </xf>
    <xf numFmtId="0" fontId="1" fillId="13" borderId="2" xfId="0" applyFont="1" applyFill="1" applyBorder="1">
      <alignment vertical="center"/>
    </xf>
    <xf numFmtId="0" fontId="1" fillId="13" borderId="14" xfId="0" applyFont="1" applyFill="1" applyBorder="1" applyAlignment="1">
      <alignment horizontal="center" vertical="center"/>
    </xf>
    <xf numFmtId="0" fontId="1" fillId="13" borderId="5" xfId="0" applyFont="1" applyFill="1" applyBorder="1">
      <alignment vertical="center"/>
    </xf>
    <xf numFmtId="0" fontId="1" fillId="0" borderId="0" xfId="0" applyFont="1" applyAlignment="1">
      <alignment vertical="center"/>
    </xf>
    <xf numFmtId="0" fontId="2" fillId="10" borderId="1" xfId="0" applyFont="1" applyFill="1" applyBorder="1">
      <alignment vertical="center"/>
    </xf>
    <xf numFmtId="0" fontId="4" fillId="10" borderId="11" xfId="0" applyFont="1" applyFill="1" applyBorder="1">
      <alignment vertical="center"/>
    </xf>
    <xf numFmtId="0" fontId="4" fillId="10" borderId="12" xfId="0" applyFont="1" applyFill="1" applyBorder="1">
      <alignment vertical="center"/>
    </xf>
    <xf numFmtId="0" fontId="4" fillId="10" borderId="1" xfId="0" applyFont="1" applyFill="1" applyBorder="1">
      <alignment vertical="center"/>
    </xf>
    <xf numFmtId="0" fontId="4" fillId="18" borderId="13" xfId="0" applyFont="1" applyFill="1" applyBorder="1">
      <alignment vertical="center"/>
    </xf>
    <xf numFmtId="0" fontId="4" fillId="18" borderId="3" xfId="0" applyFont="1" applyFill="1" applyBorder="1">
      <alignment vertical="center"/>
    </xf>
    <xf numFmtId="0" fontId="4" fillId="10" borderId="13" xfId="0" applyFont="1" applyFill="1" applyBorder="1">
      <alignment vertical="center"/>
    </xf>
    <xf numFmtId="0" fontId="4" fillId="10" borderId="3" xfId="0" applyFont="1" applyFill="1" applyBorder="1">
      <alignment vertical="center"/>
    </xf>
    <xf numFmtId="0" fontId="4" fillId="3" borderId="3" xfId="0" applyFont="1" applyFill="1" applyBorder="1">
      <alignment vertical="center"/>
    </xf>
    <xf numFmtId="0" fontId="4" fillId="3" borderId="9" xfId="0" applyFont="1" applyFill="1" applyBorder="1">
      <alignment vertical="center"/>
    </xf>
    <xf numFmtId="0" fontId="4" fillId="3" borderId="3" xfId="0" applyFont="1" applyFill="1" applyBorder="1" applyAlignment="1">
      <alignment vertical="center"/>
    </xf>
    <xf numFmtId="0" fontId="4" fillId="3" borderId="9" xfId="0" applyFont="1" applyFill="1" applyBorder="1" applyAlignment="1">
      <alignment vertical="center"/>
    </xf>
    <xf numFmtId="0" fontId="4" fillId="19" borderId="4" xfId="0" applyFont="1" applyFill="1" applyBorder="1">
      <alignment vertical="center"/>
    </xf>
    <xf numFmtId="0" fontId="4" fillId="3" borderId="3" xfId="0" applyFont="1" applyFill="1" applyBorder="1" applyAlignment="1">
      <alignment horizontal="right" vertical="center"/>
    </xf>
    <xf numFmtId="0" fontId="4" fillId="10" borderId="0" xfId="0" applyFont="1" applyFill="1" applyBorder="1">
      <alignment vertical="center"/>
    </xf>
    <xf numFmtId="0" fontId="4" fillId="10" borderId="4" xfId="0" applyFont="1" applyFill="1" applyBorder="1">
      <alignment vertical="center"/>
    </xf>
    <xf numFmtId="0" fontId="4" fillId="10" borderId="14" xfId="0" applyFont="1" applyFill="1" applyBorder="1">
      <alignment vertical="center"/>
    </xf>
    <xf numFmtId="0" fontId="4" fillId="10" borderId="2" xfId="0" applyFont="1" applyFill="1" applyBorder="1">
      <alignment vertical="center"/>
    </xf>
    <xf numFmtId="0" fontId="4" fillId="10" borderId="9" xfId="0" applyFont="1" applyFill="1" applyBorder="1">
      <alignment vertical="center"/>
    </xf>
    <xf numFmtId="0" fontId="4" fillId="19" borderId="13" xfId="0" applyFont="1" applyFill="1" applyBorder="1">
      <alignment vertical="center"/>
    </xf>
    <xf numFmtId="0" fontId="4" fillId="19" borderId="3" xfId="0" applyFont="1" applyFill="1" applyBorder="1">
      <alignment vertical="center"/>
    </xf>
    <xf numFmtId="0" fontId="1" fillId="0" borderId="0" xfId="0" applyFont="1" applyAlignment="1">
      <alignment vertical="center"/>
    </xf>
    <xf numFmtId="0" fontId="2" fillId="10" borderId="13" xfId="0" applyFont="1" applyFill="1" applyBorder="1" applyAlignment="1">
      <alignment vertical="center"/>
    </xf>
    <xf numFmtId="0" fontId="4" fillId="10" borderId="3" xfId="0" applyFont="1" applyFill="1" applyBorder="1" applyAlignment="1">
      <alignment vertical="center"/>
    </xf>
    <xf numFmtId="0" fontId="4" fillId="10" borderId="9" xfId="0" applyFont="1" applyFill="1" applyBorder="1" applyAlignment="1">
      <alignment vertical="center"/>
    </xf>
    <xf numFmtId="0" fontId="1" fillId="20" borderId="0" xfId="0" applyFont="1" applyFill="1" applyAlignment="1">
      <alignment vertical="center"/>
    </xf>
    <xf numFmtId="0" fontId="2" fillId="19" borderId="7" xfId="0" applyFont="1" applyFill="1" applyBorder="1" applyAlignment="1">
      <alignment vertical="center"/>
    </xf>
    <xf numFmtId="0" fontId="2" fillId="19" borderId="6" xfId="0" applyFont="1" applyFill="1" applyBorder="1" applyAlignment="1">
      <alignment vertical="center"/>
    </xf>
    <xf numFmtId="0" fontId="1" fillId="21" borderId="4" xfId="0" applyFont="1" applyFill="1" applyBorder="1" applyAlignment="1">
      <alignment vertical="center"/>
    </xf>
    <xf numFmtId="0" fontId="1" fillId="21" borderId="14" xfId="0" applyFont="1" applyFill="1" applyBorder="1" applyAlignment="1">
      <alignment vertical="center"/>
    </xf>
    <xf numFmtId="0" fontId="1" fillId="21" borderId="5" xfId="0" applyFont="1" applyFill="1" applyBorder="1" applyAlignment="1">
      <alignment vertical="center"/>
    </xf>
    <xf numFmtId="0" fontId="4" fillId="19" borderId="7" xfId="0" applyFont="1" applyFill="1" applyBorder="1" applyAlignment="1">
      <alignment vertical="center"/>
    </xf>
    <xf numFmtId="0" fontId="4" fillId="19" borderId="8" xfId="0" applyFont="1" applyFill="1" applyBorder="1" applyAlignment="1">
      <alignment vertical="center"/>
    </xf>
    <xf numFmtId="0" fontId="1" fillId="21" borderId="13" xfId="0" applyFont="1" applyFill="1" applyBorder="1" applyAlignment="1">
      <alignment vertical="center"/>
    </xf>
    <xf numFmtId="0" fontId="1" fillId="21" borderId="3" xfId="0" applyFont="1" applyFill="1" applyBorder="1" applyAlignment="1">
      <alignment vertical="center"/>
    </xf>
    <xf numFmtId="0" fontId="1" fillId="21" borderId="9" xfId="0" applyFont="1" applyFill="1" applyBorder="1" applyAlignment="1">
      <alignment vertical="center"/>
    </xf>
    <xf numFmtId="0" fontId="4" fillId="19" borderId="6" xfId="0" applyFont="1" applyFill="1" applyBorder="1" applyAlignment="1">
      <alignment vertical="center"/>
    </xf>
    <xf numFmtId="0" fontId="1" fillId="20" borderId="0" xfId="0" applyFont="1" applyFill="1" applyBorder="1" applyAlignment="1">
      <alignment vertical="center"/>
    </xf>
    <xf numFmtId="0" fontId="1" fillId="19" borderId="10" xfId="0" applyFont="1" applyFill="1" applyBorder="1" applyAlignment="1">
      <alignment vertical="center"/>
    </xf>
    <xf numFmtId="0" fontId="1" fillId="21" borderId="1" xfId="0" applyFont="1" applyFill="1" applyBorder="1" applyAlignment="1">
      <alignment vertical="center"/>
    </xf>
    <xf numFmtId="0" fontId="1" fillId="21" borderId="11" xfId="0" applyFont="1" applyFill="1" applyBorder="1" applyAlignment="1">
      <alignment vertical="center"/>
    </xf>
    <xf numFmtId="0" fontId="1" fillId="21" borderId="2" xfId="0" applyFont="1" applyFill="1" applyBorder="1" applyAlignment="1">
      <alignment vertical="center"/>
    </xf>
    <xf numFmtId="0" fontId="1" fillId="19" borderId="7" xfId="0" applyFont="1" applyFill="1" applyBorder="1" applyAlignment="1">
      <alignment vertical="center"/>
    </xf>
    <xf numFmtId="0" fontId="1" fillId="21" borderId="12" xfId="0" applyFont="1" applyFill="1" applyBorder="1" applyAlignment="1">
      <alignment vertical="center"/>
    </xf>
    <xf numFmtId="0" fontId="1" fillId="21" borderId="0" xfId="0" applyFont="1" applyFill="1" applyBorder="1" applyAlignment="1">
      <alignment vertical="center"/>
    </xf>
    <xf numFmtId="0" fontId="1" fillId="21" borderId="15" xfId="0" applyFont="1" applyFill="1" applyBorder="1" applyAlignment="1">
      <alignment vertical="center"/>
    </xf>
    <xf numFmtId="0" fontId="1" fillId="19" borderId="6" xfId="0" applyFont="1" applyFill="1" applyBorder="1" applyAlignment="1">
      <alignment vertical="center"/>
    </xf>
    <xf numFmtId="0" fontId="1" fillId="21" borderId="4" xfId="0" applyFont="1" applyFill="1" applyBorder="1" applyAlignment="1">
      <alignment vertical="center"/>
    </xf>
    <xf numFmtId="0" fontId="1" fillId="19" borderId="12" xfId="0" applyFont="1" applyFill="1" applyBorder="1" applyAlignment="1">
      <alignment vertical="center"/>
    </xf>
    <xf numFmtId="0" fontId="1" fillId="21" borderId="12" xfId="0" applyFont="1" applyFill="1" applyBorder="1" applyAlignment="1">
      <alignment vertical="center"/>
    </xf>
    <xf numFmtId="0" fontId="2" fillId="17" borderId="12" xfId="0" applyFont="1" applyFill="1" applyBorder="1" applyAlignment="1">
      <alignment vertical="center"/>
    </xf>
    <xf numFmtId="0" fontId="2" fillId="17" borderId="0" xfId="0" applyFont="1" applyFill="1" applyBorder="1" applyAlignment="1">
      <alignment vertical="center"/>
    </xf>
    <xf numFmtId="0" fontId="2" fillId="17" borderId="15" xfId="0" applyFont="1" applyFill="1" applyBorder="1" applyAlignment="1">
      <alignment vertical="center"/>
    </xf>
    <xf numFmtId="0" fontId="6" fillId="21" borderId="12" xfId="0" applyFont="1" applyFill="1" applyBorder="1" applyAlignment="1">
      <alignment vertical="center"/>
    </xf>
    <xf numFmtId="0" fontId="1" fillId="19" borderId="4" xfId="0" applyFont="1" applyFill="1" applyBorder="1" applyAlignment="1">
      <alignment vertical="center"/>
    </xf>
    <xf numFmtId="0" fontId="1" fillId="21" borderId="0" xfId="0" applyFont="1" applyFill="1" applyBorder="1" applyAlignment="1">
      <alignment vertical="center"/>
    </xf>
    <xf numFmtId="0" fontId="1" fillId="0" borderId="0" xfId="0" quotePrefix="1" applyFont="1">
      <alignment vertical="center"/>
    </xf>
    <xf numFmtId="0" fontId="4" fillId="17" borderId="11" xfId="0" applyFont="1" applyFill="1" applyBorder="1" applyAlignment="1" applyProtection="1">
      <alignment vertical="center"/>
      <protection locked="0"/>
    </xf>
    <xf numFmtId="0" fontId="4" fillId="19" borderId="13" xfId="0" applyFont="1" applyFill="1" applyBorder="1" applyAlignment="1">
      <alignment vertical="center"/>
    </xf>
    <xf numFmtId="0" fontId="4" fillId="19" borderId="3" xfId="0" applyFont="1" applyFill="1" applyBorder="1" applyAlignment="1">
      <alignment vertical="center"/>
    </xf>
    <xf numFmtId="0" fontId="4" fillId="19" borderId="1" xfId="0" applyFont="1" applyFill="1" applyBorder="1" applyAlignment="1">
      <alignment vertical="center"/>
    </xf>
    <xf numFmtId="0" fontId="4" fillId="19" borderId="11" xfId="0" applyFont="1" applyFill="1" applyBorder="1" applyAlignment="1">
      <alignment vertical="center"/>
    </xf>
    <xf numFmtId="0" fontId="4" fillId="19" borderId="2" xfId="0" applyFont="1" applyFill="1" applyBorder="1" applyAlignment="1">
      <alignment vertical="center"/>
    </xf>
    <xf numFmtId="0" fontId="4" fillId="3" borderId="3" xfId="0" applyFont="1" applyFill="1" applyBorder="1" applyAlignment="1">
      <alignment vertical="center"/>
    </xf>
    <xf numFmtId="0" fontId="4" fillId="3" borderId="9" xfId="0" applyFont="1" applyFill="1" applyBorder="1" applyAlignment="1">
      <alignment vertical="center"/>
    </xf>
    <xf numFmtId="0" fontId="4" fillId="3" borderId="14" xfId="0" applyFont="1" applyFill="1" applyBorder="1" applyAlignment="1">
      <alignment horizontal="center" vertical="center"/>
    </xf>
    <xf numFmtId="0" fontId="4" fillId="3" borderId="5" xfId="0" applyFont="1" applyFill="1" applyBorder="1" applyAlignment="1">
      <alignment horizontal="center" vertical="center"/>
    </xf>
    <xf numFmtId="0" fontId="4" fillId="17" borderId="3" xfId="0" applyFont="1" applyFill="1" applyBorder="1" applyAlignment="1" applyProtection="1">
      <alignment vertical="center"/>
      <protection locked="0"/>
    </xf>
    <xf numFmtId="0" fontId="2" fillId="17" borderId="13" xfId="0" applyFont="1" applyFill="1" applyBorder="1" applyAlignment="1" applyProtection="1">
      <alignment vertical="center"/>
      <protection locked="0"/>
    </xf>
    <xf numFmtId="0" fontId="1" fillId="13" borderId="3" xfId="0" applyFont="1" applyFill="1" applyBorder="1" applyAlignment="1">
      <alignment vertical="center"/>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5" borderId="7" xfId="0" applyFont="1" applyFill="1" applyBorder="1" applyAlignment="1">
      <alignment horizontal="center" vertical="center" wrapText="1"/>
    </xf>
    <xf numFmtId="0" fontId="4" fillId="5" borderId="7" xfId="0" applyFont="1" applyFill="1" applyBorder="1" applyAlignment="1">
      <alignment horizontal="center" vertical="center"/>
    </xf>
    <xf numFmtId="0" fontId="2" fillId="6" borderId="7" xfId="0" applyFont="1" applyFill="1" applyBorder="1" applyAlignment="1">
      <alignment horizontal="center" vertical="center" wrapText="1"/>
    </xf>
    <xf numFmtId="0" fontId="2" fillId="6" borderId="7" xfId="0" applyFont="1" applyFill="1" applyBorder="1" applyAlignment="1">
      <alignment horizontal="center" vertical="center"/>
    </xf>
    <xf numFmtId="0" fontId="2" fillId="6" borderId="6"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cellXfs>
  <cellStyles count="1">
    <cellStyle name="標準" xfId="0" builtinId="0"/>
  </cellStyles>
  <dxfs count="3">
    <dxf>
      <font>
        <color theme="0"/>
      </font>
      <fill>
        <patternFill patternType="solid">
          <bgColor rgb="FFFF0000"/>
        </patternFill>
      </fill>
    </dxf>
    <dxf>
      <font>
        <color theme="0"/>
      </font>
      <fill>
        <patternFill patternType="solid">
          <bgColor rgb="FF0070C0"/>
        </patternFill>
      </fill>
    </dxf>
    <dxf>
      <font>
        <color theme="0"/>
      </font>
      <fill>
        <patternFill patternType="solid">
          <bgColor rgb="FF00B050"/>
        </patternFill>
      </fill>
    </dxf>
  </dxfs>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0"/>
  <sheetViews>
    <sheetView tabSelected="1" workbookViewId="0">
      <selection activeCell="F1" sqref="F1"/>
    </sheetView>
  </sheetViews>
  <sheetFormatPr defaultColWidth="9" defaultRowHeight="15.75" x14ac:dyDescent="0.15"/>
  <cols>
    <col min="1" max="1" width="2.25" style="83" customWidth="1"/>
    <col min="2" max="2" width="16.5" style="83" customWidth="1"/>
    <col min="3" max="3" width="17" style="83" customWidth="1"/>
    <col min="4" max="8" width="9" style="83"/>
    <col min="9" max="9" width="9" style="83" customWidth="1"/>
    <col min="10" max="16384" width="9" style="83"/>
  </cols>
  <sheetData>
    <row r="1" spans="1:9" x14ac:dyDescent="0.15">
      <c r="A1" s="84" t="s">
        <v>0</v>
      </c>
      <c r="B1" s="85"/>
      <c r="C1" s="85"/>
      <c r="D1" s="85"/>
      <c r="E1" s="85"/>
      <c r="F1" s="85" t="str">
        <f>INDEX($B$82:$B$89,2,)</f>
        <v>Ver.1.2</v>
      </c>
      <c r="G1" s="85"/>
      <c r="H1" s="86"/>
      <c r="I1" s="87"/>
    </row>
    <row r="2" spans="1:9" x14ac:dyDescent="0.15">
      <c r="A2" s="87"/>
      <c r="B2" s="87"/>
      <c r="C2" s="87"/>
      <c r="D2" s="87"/>
      <c r="E2" s="87"/>
      <c r="F2" s="87"/>
      <c r="G2" s="87"/>
      <c r="H2" s="87"/>
      <c r="I2" s="87"/>
    </row>
    <row r="3" spans="1:9" x14ac:dyDescent="0.15">
      <c r="A3" s="84" t="s">
        <v>1</v>
      </c>
      <c r="B3" s="84"/>
      <c r="C3" s="85"/>
      <c r="D3" s="85"/>
      <c r="E3" s="85"/>
      <c r="F3" s="85"/>
      <c r="G3" s="85"/>
      <c r="H3" s="86"/>
      <c r="I3" s="87"/>
    </row>
    <row r="4" spans="1:9" x14ac:dyDescent="0.15">
      <c r="A4" s="88"/>
      <c r="B4" s="89" t="s">
        <v>2</v>
      </c>
      <c r="C4" s="90" t="s">
        <v>3</v>
      </c>
      <c r="D4" s="91"/>
      <c r="E4" s="91"/>
      <c r="F4" s="91"/>
      <c r="G4" s="91"/>
      <c r="H4" s="92"/>
      <c r="I4" s="87"/>
    </row>
    <row r="5" spans="1:9" x14ac:dyDescent="0.15">
      <c r="A5" s="93"/>
      <c r="B5" s="94" t="s">
        <v>4</v>
      </c>
      <c r="C5" s="95" t="s">
        <v>5</v>
      </c>
      <c r="D5" s="96"/>
      <c r="E5" s="96"/>
      <c r="F5" s="96"/>
      <c r="G5" s="96"/>
      <c r="H5" s="97"/>
      <c r="I5" s="87"/>
    </row>
    <row r="6" spans="1:9" x14ac:dyDescent="0.15">
      <c r="A6" s="93"/>
      <c r="B6" s="94" t="s">
        <v>6</v>
      </c>
      <c r="C6" s="95" t="s">
        <v>7</v>
      </c>
      <c r="D6" s="96"/>
      <c r="E6" s="96"/>
      <c r="F6" s="96"/>
      <c r="G6" s="96"/>
      <c r="H6" s="97"/>
      <c r="I6" s="87"/>
    </row>
    <row r="7" spans="1:9" x14ac:dyDescent="0.15">
      <c r="A7" s="93"/>
      <c r="B7" s="94" t="s">
        <v>8</v>
      </c>
      <c r="C7" s="95" t="s">
        <v>9</v>
      </c>
      <c r="D7" s="96"/>
      <c r="E7" s="96"/>
      <c r="F7" s="96"/>
      <c r="G7" s="96"/>
      <c r="H7" s="97"/>
      <c r="I7" s="87"/>
    </row>
    <row r="8" spans="1:9" x14ac:dyDescent="0.15">
      <c r="A8" s="93"/>
      <c r="B8" s="94" t="s">
        <v>10</v>
      </c>
      <c r="C8" s="95" t="s">
        <v>11</v>
      </c>
      <c r="D8" s="96"/>
      <c r="E8" s="96"/>
      <c r="F8" s="96"/>
      <c r="G8" s="96"/>
      <c r="H8" s="97"/>
      <c r="I8" s="87"/>
    </row>
    <row r="9" spans="1:9" x14ac:dyDescent="0.15">
      <c r="A9" s="93"/>
      <c r="B9" s="94" t="s">
        <v>12</v>
      </c>
      <c r="C9" s="95" t="s">
        <v>13</v>
      </c>
      <c r="D9" s="96"/>
      <c r="E9" s="96"/>
      <c r="F9" s="96"/>
      <c r="G9" s="96"/>
      <c r="H9" s="97"/>
      <c r="I9" s="87"/>
    </row>
    <row r="10" spans="1:9" x14ac:dyDescent="0.15">
      <c r="A10" s="98"/>
      <c r="B10" s="94" t="s">
        <v>14</v>
      </c>
      <c r="C10" s="95" t="s">
        <v>15</v>
      </c>
      <c r="D10" s="96"/>
      <c r="E10" s="96"/>
      <c r="F10" s="96"/>
      <c r="G10" s="96"/>
      <c r="H10" s="97"/>
      <c r="I10" s="87"/>
    </row>
    <row r="11" spans="1:9" x14ac:dyDescent="0.15">
      <c r="A11" s="87"/>
      <c r="B11" s="87"/>
      <c r="C11" s="87"/>
      <c r="D11" s="87"/>
      <c r="E11" s="87"/>
      <c r="F11" s="87"/>
      <c r="G11" s="87"/>
      <c r="H11" s="99"/>
      <c r="I11" s="87"/>
    </row>
    <row r="12" spans="1:9" x14ac:dyDescent="0.15">
      <c r="A12" s="84" t="s">
        <v>16</v>
      </c>
      <c r="B12" s="85"/>
      <c r="C12" s="85"/>
      <c r="D12" s="85"/>
      <c r="E12" s="85"/>
      <c r="F12" s="85"/>
      <c r="G12" s="85"/>
      <c r="H12" s="86"/>
      <c r="I12" s="87"/>
    </row>
    <row r="13" spans="1:9" ht="13.5" customHeight="1" x14ac:dyDescent="0.15">
      <c r="A13" s="100"/>
      <c r="B13" s="101" t="s">
        <v>17</v>
      </c>
      <c r="C13" s="102"/>
      <c r="D13" s="102"/>
      <c r="E13" s="102"/>
      <c r="F13" s="102"/>
      <c r="G13" s="102"/>
      <c r="H13" s="103"/>
      <c r="I13" s="87"/>
    </row>
    <row r="14" spans="1:9" ht="13.5" customHeight="1" x14ac:dyDescent="0.15">
      <c r="A14" s="104"/>
      <c r="B14" s="105" t="s">
        <v>18</v>
      </c>
      <c r="C14" s="106"/>
      <c r="D14" s="106"/>
      <c r="E14" s="106"/>
      <c r="F14" s="106"/>
      <c r="G14" s="106"/>
      <c r="H14" s="107"/>
      <c r="I14" s="87"/>
    </row>
    <row r="15" spans="1:9" ht="13.5" customHeight="1" x14ac:dyDescent="0.15">
      <c r="A15" s="104"/>
      <c r="B15" s="105" t="s">
        <v>19</v>
      </c>
      <c r="C15" s="106"/>
      <c r="D15" s="106"/>
      <c r="E15" s="106"/>
      <c r="F15" s="106"/>
      <c r="G15" s="106"/>
      <c r="H15" s="107"/>
      <c r="I15" s="87"/>
    </row>
    <row r="16" spans="1:9" ht="13.5" customHeight="1" x14ac:dyDescent="0.15">
      <c r="A16" s="108"/>
      <c r="B16" s="109"/>
      <c r="C16" s="91"/>
      <c r="D16" s="91"/>
      <c r="E16" s="91"/>
      <c r="F16" s="91"/>
      <c r="G16" s="91"/>
      <c r="H16" s="92"/>
      <c r="I16" s="87"/>
    </row>
    <row r="17" spans="1:9" ht="13.5" customHeight="1" x14ac:dyDescent="0.15">
      <c r="A17" s="99"/>
      <c r="B17" s="99"/>
      <c r="C17" s="99"/>
      <c r="D17" s="99"/>
      <c r="E17" s="99"/>
      <c r="F17" s="99"/>
      <c r="G17" s="99"/>
      <c r="H17" s="99"/>
      <c r="I17" s="87"/>
    </row>
    <row r="18" spans="1:9" x14ac:dyDescent="0.15">
      <c r="A18" s="84" t="s">
        <v>20</v>
      </c>
      <c r="B18" s="85"/>
      <c r="C18" s="85"/>
      <c r="D18" s="85"/>
      <c r="E18" s="85"/>
      <c r="F18" s="85"/>
      <c r="G18" s="85"/>
      <c r="H18" s="86"/>
      <c r="I18" s="87"/>
    </row>
    <row r="19" spans="1:9" x14ac:dyDescent="0.15">
      <c r="A19" s="110"/>
      <c r="B19" s="101" t="s">
        <v>21</v>
      </c>
      <c r="C19" s="102"/>
      <c r="D19" s="102"/>
      <c r="E19" s="102"/>
      <c r="F19" s="102"/>
      <c r="G19" s="102"/>
      <c r="H19" s="103"/>
      <c r="I19" s="87"/>
    </row>
    <row r="20" spans="1:9" x14ac:dyDescent="0.15">
      <c r="A20" s="110"/>
      <c r="B20" s="105" t="s">
        <v>22</v>
      </c>
      <c r="C20" s="106"/>
      <c r="D20" s="106"/>
      <c r="E20" s="106"/>
      <c r="F20" s="106"/>
      <c r="G20" s="106"/>
      <c r="H20" s="107"/>
      <c r="I20" s="87"/>
    </row>
    <row r="21" spans="1:9" x14ac:dyDescent="0.15">
      <c r="A21" s="110"/>
      <c r="B21" s="105" t="s">
        <v>23</v>
      </c>
      <c r="C21" s="106"/>
      <c r="D21" s="106"/>
      <c r="E21" s="106"/>
      <c r="F21" s="106"/>
      <c r="G21" s="106"/>
      <c r="H21" s="107"/>
      <c r="I21" s="87"/>
    </row>
    <row r="22" spans="1:9" x14ac:dyDescent="0.15">
      <c r="A22" s="110"/>
      <c r="B22" s="105" t="s">
        <v>24</v>
      </c>
      <c r="C22" s="106"/>
      <c r="D22" s="106"/>
      <c r="E22" s="106"/>
      <c r="F22" s="106"/>
      <c r="G22" s="106"/>
      <c r="H22" s="107"/>
      <c r="I22" s="87"/>
    </row>
    <row r="23" spans="1:9" x14ac:dyDescent="0.15">
      <c r="A23" s="110"/>
      <c r="B23" s="111"/>
      <c r="C23" s="106"/>
      <c r="D23" s="106"/>
      <c r="E23" s="106"/>
      <c r="F23" s="106"/>
      <c r="G23" s="106"/>
      <c r="H23" s="107"/>
      <c r="I23" s="87"/>
    </row>
    <row r="24" spans="1:9" x14ac:dyDescent="0.15">
      <c r="A24" s="110"/>
      <c r="B24" s="112" t="s">
        <v>25</v>
      </c>
      <c r="C24" s="113"/>
      <c r="D24" s="113"/>
      <c r="E24" s="113"/>
      <c r="F24" s="113"/>
      <c r="G24" s="113"/>
      <c r="H24" s="114"/>
      <c r="I24" s="87"/>
    </row>
    <row r="25" spans="1:9" x14ac:dyDescent="0.15">
      <c r="A25" s="110"/>
      <c r="B25" s="105" t="s">
        <v>26</v>
      </c>
      <c r="C25" s="106"/>
      <c r="D25" s="106"/>
      <c r="E25" s="106"/>
      <c r="F25" s="106"/>
      <c r="G25" s="106"/>
      <c r="H25" s="107"/>
      <c r="I25" s="87"/>
    </row>
    <row r="26" spans="1:9" x14ac:dyDescent="0.15">
      <c r="A26" s="110"/>
      <c r="B26" s="105" t="s">
        <v>27</v>
      </c>
      <c r="C26" s="106"/>
      <c r="D26" s="106"/>
      <c r="E26" s="106"/>
      <c r="F26" s="106"/>
      <c r="G26" s="106"/>
      <c r="H26" s="107"/>
      <c r="I26" s="87"/>
    </row>
    <row r="27" spans="1:9" x14ac:dyDescent="0.15">
      <c r="A27" s="110"/>
      <c r="B27" s="111"/>
      <c r="C27" s="106"/>
      <c r="D27" s="106"/>
      <c r="E27" s="106"/>
      <c r="F27" s="106"/>
      <c r="G27" s="106"/>
      <c r="H27" s="107"/>
      <c r="I27" s="87"/>
    </row>
    <row r="28" spans="1:9" x14ac:dyDescent="0.15">
      <c r="A28" s="110"/>
      <c r="B28" s="105" t="s">
        <v>28</v>
      </c>
      <c r="C28" s="106"/>
      <c r="D28" s="106"/>
      <c r="E28" s="106"/>
      <c r="F28" s="106"/>
      <c r="G28" s="106"/>
      <c r="H28" s="107"/>
      <c r="I28" s="87"/>
    </row>
    <row r="29" spans="1:9" x14ac:dyDescent="0.15">
      <c r="A29" s="110"/>
      <c r="B29" s="105" t="s">
        <v>29</v>
      </c>
      <c r="C29" s="106"/>
      <c r="D29" s="106"/>
      <c r="E29" s="106"/>
      <c r="F29" s="106"/>
      <c r="G29" s="106"/>
      <c r="H29" s="107"/>
      <c r="I29" s="87"/>
    </row>
    <row r="30" spans="1:9" x14ac:dyDescent="0.15">
      <c r="A30" s="110"/>
      <c r="B30" s="105" t="s">
        <v>30</v>
      </c>
      <c r="C30" s="106"/>
      <c r="D30" s="106"/>
      <c r="E30" s="106"/>
      <c r="F30" s="106"/>
      <c r="G30" s="106"/>
      <c r="H30" s="107"/>
      <c r="I30" s="87"/>
    </row>
    <row r="31" spans="1:9" x14ac:dyDescent="0.15">
      <c r="A31" s="110"/>
      <c r="B31" s="105" t="s">
        <v>31</v>
      </c>
      <c r="C31" s="106"/>
      <c r="D31" s="106"/>
      <c r="E31" s="106"/>
      <c r="F31" s="106"/>
      <c r="G31" s="106"/>
      <c r="H31" s="107"/>
      <c r="I31" s="87"/>
    </row>
    <row r="32" spans="1:9" x14ac:dyDescent="0.15">
      <c r="A32" s="110"/>
      <c r="B32" s="111"/>
      <c r="C32" s="106"/>
      <c r="D32" s="106"/>
      <c r="E32" s="106"/>
      <c r="F32" s="106"/>
      <c r="G32" s="106"/>
      <c r="H32" s="107"/>
      <c r="I32" s="87"/>
    </row>
    <row r="33" spans="1:9" x14ac:dyDescent="0.15">
      <c r="A33" s="110"/>
      <c r="B33" s="115" t="s">
        <v>32</v>
      </c>
      <c r="C33" s="106"/>
      <c r="D33" s="106"/>
      <c r="E33" s="106"/>
      <c r="F33" s="106"/>
      <c r="G33" s="106"/>
      <c r="H33" s="107"/>
      <c r="I33" s="87"/>
    </row>
    <row r="34" spans="1:9" x14ac:dyDescent="0.15">
      <c r="A34" s="110"/>
      <c r="B34" s="105" t="s">
        <v>33</v>
      </c>
      <c r="C34" s="106"/>
      <c r="D34" s="106"/>
      <c r="E34" s="106"/>
      <c r="F34" s="106"/>
      <c r="G34" s="106"/>
      <c r="H34" s="107"/>
      <c r="I34" s="87"/>
    </row>
    <row r="35" spans="1:9" x14ac:dyDescent="0.15">
      <c r="A35" s="110"/>
      <c r="B35" s="105" t="s">
        <v>34</v>
      </c>
      <c r="C35" s="106"/>
      <c r="D35" s="106"/>
      <c r="E35" s="106"/>
      <c r="F35" s="106"/>
      <c r="G35" s="106"/>
      <c r="H35" s="107"/>
      <c r="I35" s="87"/>
    </row>
    <row r="36" spans="1:9" x14ac:dyDescent="0.15">
      <c r="A36" s="110"/>
      <c r="B36" s="111"/>
      <c r="C36" s="106"/>
      <c r="D36" s="106"/>
      <c r="E36" s="106"/>
      <c r="F36" s="106"/>
      <c r="G36" s="106"/>
      <c r="H36" s="107"/>
      <c r="I36" s="87"/>
    </row>
    <row r="37" spans="1:9" x14ac:dyDescent="0.15">
      <c r="A37" s="110"/>
      <c r="B37" s="105" t="s">
        <v>35</v>
      </c>
      <c r="C37" s="106"/>
      <c r="D37" s="106"/>
      <c r="E37" s="106"/>
      <c r="F37" s="106"/>
      <c r="G37" s="106"/>
      <c r="H37" s="107"/>
      <c r="I37" s="87"/>
    </row>
    <row r="38" spans="1:9" x14ac:dyDescent="0.15">
      <c r="A38" s="110"/>
      <c r="B38" s="105" t="s">
        <v>36</v>
      </c>
      <c r="C38" s="106"/>
      <c r="D38" s="106"/>
      <c r="E38" s="106"/>
      <c r="F38" s="106"/>
      <c r="G38" s="106"/>
      <c r="H38" s="107"/>
      <c r="I38" s="87"/>
    </row>
    <row r="39" spans="1:9" x14ac:dyDescent="0.15">
      <c r="A39" s="116"/>
      <c r="B39" s="109"/>
      <c r="C39" s="91"/>
      <c r="D39" s="91"/>
      <c r="E39" s="91"/>
      <c r="F39" s="91"/>
      <c r="G39" s="91"/>
      <c r="H39" s="92"/>
      <c r="I39" s="87"/>
    </row>
    <row r="40" spans="1:9" x14ac:dyDescent="0.15">
      <c r="A40" s="87"/>
      <c r="B40" s="87"/>
      <c r="C40" s="87"/>
      <c r="D40" s="87"/>
      <c r="E40" s="87"/>
      <c r="F40" s="87"/>
      <c r="G40" s="87"/>
      <c r="H40" s="87"/>
      <c r="I40" s="87"/>
    </row>
    <row r="41" spans="1:9" x14ac:dyDescent="0.15">
      <c r="A41" s="84" t="s">
        <v>37</v>
      </c>
      <c r="B41" s="85"/>
      <c r="C41" s="85"/>
      <c r="D41" s="85"/>
      <c r="E41" s="85"/>
      <c r="F41" s="85"/>
      <c r="G41" s="85"/>
      <c r="H41" s="86"/>
      <c r="I41" s="87"/>
    </row>
    <row r="42" spans="1:9" x14ac:dyDescent="0.15">
      <c r="A42" s="100"/>
      <c r="B42" s="101" t="s">
        <v>38</v>
      </c>
      <c r="C42" s="102"/>
      <c r="D42" s="102"/>
      <c r="E42" s="102"/>
      <c r="F42" s="102"/>
      <c r="G42" s="102"/>
      <c r="H42" s="103"/>
      <c r="I42" s="87"/>
    </row>
    <row r="43" spans="1:9" x14ac:dyDescent="0.15">
      <c r="A43" s="104"/>
      <c r="B43" s="111"/>
      <c r="C43" s="106"/>
      <c r="D43" s="106"/>
      <c r="E43" s="106"/>
      <c r="F43" s="106"/>
      <c r="G43" s="106"/>
      <c r="H43" s="107"/>
      <c r="I43" s="87"/>
    </row>
    <row r="44" spans="1:9" x14ac:dyDescent="0.15">
      <c r="A44" s="104"/>
      <c r="B44" s="105" t="s">
        <v>39</v>
      </c>
      <c r="C44" s="106"/>
      <c r="D44" s="106"/>
      <c r="E44" s="106"/>
      <c r="F44" s="106"/>
      <c r="G44" s="106"/>
      <c r="H44" s="107"/>
      <c r="I44" s="87"/>
    </row>
    <row r="45" spans="1:9" x14ac:dyDescent="0.15">
      <c r="A45" s="104"/>
      <c r="B45" s="111"/>
      <c r="C45" s="106"/>
      <c r="D45" s="106"/>
      <c r="E45" s="106"/>
      <c r="F45" s="106"/>
      <c r="G45" s="106"/>
      <c r="H45" s="107"/>
      <c r="I45" s="87"/>
    </row>
    <row r="46" spans="1:9" x14ac:dyDescent="0.15">
      <c r="A46" s="104"/>
      <c r="B46" s="105" t="s">
        <v>40</v>
      </c>
      <c r="C46" s="106"/>
      <c r="D46" s="106"/>
      <c r="E46" s="106"/>
      <c r="F46" s="106"/>
      <c r="G46" s="106"/>
      <c r="H46" s="107"/>
      <c r="I46" s="87"/>
    </row>
    <row r="47" spans="1:9" x14ac:dyDescent="0.15">
      <c r="A47" s="104"/>
      <c r="B47" s="105" t="s">
        <v>41</v>
      </c>
      <c r="C47" s="106"/>
      <c r="D47" s="106"/>
      <c r="E47" s="106"/>
      <c r="F47" s="106"/>
      <c r="G47" s="106"/>
      <c r="H47" s="107"/>
      <c r="I47" s="87"/>
    </row>
    <row r="48" spans="1:9" x14ac:dyDescent="0.15">
      <c r="A48" s="104"/>
      <c r="B48" s="105" t="s">
        <v>42</v>
      </c>
      <c r="C48" s="106"/>
      <c r="D48" s="106"/>
      <c r="E48" s="106"/>
      <c r="F48" s="106"/>
      <c r="G48" s="106"/>
      <c r="H48" s="107"/>
      <c r="I48" s="87"/>
    </row>
    <row r="49" spans="1:9" x14ac:dyDescent="0.15">
      <c r="A49" s="104"/>
      <c r="B49" s="105" t="s">
        <v>43</v>
      </c>
      <c r="C49" s="106"/>
      <c r="D49" s="106"/>
      <c r="E49" s="106"/>
      <c r="F49" s="106"/>
      <c r="G49" s="106"/>
      <c r="H49" s="107"/>
      <c r="I49" s="87"/>
    </row>
    <row r="50" spans="1:9" x14ac:dyDescent="0.15">
      <c r="A50" s="104"/>
      <c r="B50" s="111"/>
      <c r="C50" s="106"/>
      <c r="D50" s="106"/>
      <c r="E50" s="106"/>
      <c r="F50" s="106"/>
      <c r="G50" s="106"/>
      <c r="H50" s="107"/>
      <c r="I50" s="87"/>
    </row>
    <row r="51" spans="1:9" x14ac:dyDescent="0.15">
      <c r="A51" s="104"/>
      <c r="B51" s="105" t="s">
        <v>44</v>
      </c>
      <c r="C51" s="106"/>
      <c r="D51" s="106"/>
      <c r="E51" s="106"/>
      <c r="F51" s="106"/>
      <c r="G51" s="106"/>
      <c r="H51" s="107"/>
      <c r="I51" s="87"/>
    </row>
    <row r="52" spans="1:9" x14ac:dyDescent="0.15">
      <c r="A52" s="104"/>
      <c r="B52" s="105" t="s">
        <v>45</v>
      </c>
      <c r="C52" s="106"/>
      <c r="D52" s="106"/>
      <c r="E52" s="106"/>
      <c r="F52" s="106"/>
      <c r="G52" s="106"/>
      <c r="H52" s="107"/>
      <c r="I52" s="87"/>
    </row>
    <row r="53" spans="1:9" x14ac:dyDescent="0.15">
      <c r="A53" s="104"/>
      <c r="B53" s="105" t="s">
        <v>46</v>
      </c>
      <c r="C53" s="106"/>
      <c r="D53" s="106"/>
      <c r="E53" s="106"/>
      <c r="F53" s="106"/>
      <c r="G53" s="106"/>
      <c r="H53" s="107"/>
      <c r="I53" s="87"/>
    </row>
    <row r="54" spans="1:9" x14ac:dyDescent="0.15">
      <c r="A54" s="104"/>
      <c r="B54" s="111"/>
      <c r="C54" s="106"/>
      <c r="D54" s="106"/>
      <c r="E54" s="106"/>
      <c r="F54" s="106"/>
      <c r="G54" s="106"/>
      <c r="H54" s="107"/>
      <c r="I54" s="87"/>
    </row>
    <row r="55" spans="1:9" x14ac:dyDescent="0.15">
      <c r="A55" s="104"/>
      <c r="B55" s="105" t="s">
        <v>47</v>
      </c>
      <c r="C55" s="106"/>
      <c r="D55" s="106"/>
      <c r="E55" s="106"/>
      <c r="F55" s="106"/>
      <c r="G55" s="106"/>
      <c r="H55" s="107"/>
      <c r="I55" s="87"/>
    </row>
    <row r="56" spans="1:9" x14ac:dyDescent="0.15">
      <c r="A56" s="104"/>
      <c r="B56" s="105" t="s">
        <v>48</v>
      </c>
      <c r="C56" s="106"/>
      <c r="D56" s="106"/>
      <c r="E56" s="106"/>
      <c r="F56" s="106"/>
      <c r="G56" s="106"/>
      <c r="H56" s="107"/>
      <c r="I56" s="87"/>
    </row>
    <row r="57" spans="1:9" x14ac:dyDescent="0.15">
      <c r="A57" s="104"/>
      <c r="B57" s="111"/>
      <c r="C57" s="106"/>
      <c r="D57" s="106"/>
      <c r="E57" s="106"/>
      <c r="F57" s="106"/>
      <c r="G57" s="106"/>
      <c r="H57" s="107"/>
      <c r="I57" s="87"/>
    </row>
    <row r="58" spans="1:9" x14ac:dyDescent="0.15">
      <c r="A58" s="104"/>
      <c r="B58" s="105" t="s">
        <v>49</v>
      </c>
      <c r="C58" s="106"/>
      <c r="D58" s="106"/>
      <c r="E58" s="106"/>
      <c r="F58" s="106"/>
      <c r="G58" s="106"/>
      <c r="H58" s="107"/>
      <c r="I58" s="87"/>
    </row>
    <row r="59" spans="1:9" x14ac:dyDescent="0.15">
      <c r="A59" s="104"/>
      <c r="B59" s="109"/>
      <c r="C59" s="91"/>
      <c r="D59" s="91"/>
      <c r="E59" s="91"/>
      <c r="F59" s="91"/>
      <c r="G59" s="91"/>
      <c r="H59" s="92"/>
      <c r="I59" s="87"/>
    </row>
    <row r="60" spans="1:9" x14ac:dyDescent="0.15">
      <c r="A60" s="104"/>
      <c r="B60" s="105" t="s">
        <v>50</v>
      </c>
      <c r="C60" s="106"/>
      <c r="D60" s="106"/>
      <c r="E60" s="106"/>
      <c r="F60" s="106"/>
      <c r="G60" s="106"/>
      <c r="H60" s="107"/>
      <c r="I60" s="87"/>
    </row>
    <row r="61" spans="1:9" x14ac:dyDescent="0.15">
      <c r="A61" s="104"/>
      <c r="B61" s="111"/>
      <c r="C61" s="106"/>
      <c r="D61" s="106"/>
      <c r="E61" s="106"/>
      <c r="F61" s="106"/>
      <c r="G61" s="106"/>
      <c r="H61" s="107"/>
      <c r="I61" s="87"/>
    </row>
    <row r="62" spans="1:9" x14ac:dyDescent="0.15">
      <c r="A62" s="104"/>
      <c r="B62" s="105" t="s">
        <v>51</v>
      </c>
      <c r="C62" s="106"/>
      <c r="D62" s="106"/>
      <c r="E62" s="106"/>
      <c r="F62" s="106"/>
      <c r="G62" s="106"/>
      <c r="H62" s="107"/>
      <c r="I62" s="87"/>
    </row>
    <row r="63" spans="1:9" x14ac:dyDescent="0.15">
      <c r="A63" s="104"/>
      <c r="B63" s="105" t="s">
        <v>52</v>
      </c>
      <c r="C63" s="106"/>
      <c r="D63" s="106"/>
      <c r="E63" s="106"/>
      <c r="F63" s="106"/>
      <c r="G63" s="106"/>
      <c r="H63" s="107"/>
      <c r="I63" s="87"/>
    </row>
    <row r="64" spans="1:9" x14ac:dyDescent="0.15">
      <c r="A64" s="104"/>
      <c r="B64" s="105" t="s">
        <v>53</v>
      </c>
      <c r="C64" s="106"/>
      <c r="D64" s="106"/>
      <c r="E64" s="106"/>
      <c r="F64" s="106"/>
      <c r="G64" s="106"/>
      <c r="H64" s="107"/>
      <c r="I64" s="87"/>
    </row>
    <row r="65" spans="1:9" x14ac:dyDescent="0.15">
      <c r="A65" s="104"/>
      <c r="B65" s="105" t="s">
        <v>54</v>
      </c>
      <c r="C65" s="106"/>
      <c r="D65" s="106"/>
      <c r="E65" s="106"/>
      <c r="F65" s="106"/>
      <c r="G65" s="106"/>
      <c r="H65" s="107"/>
      <c r="I65" s="87"/>
    </row>
    <row r="66" spans="1:9" x14ac:dyDescent="0.15">
      <c r="A66" s="104"/>
      <c r="B66" s="111"/>
      <c r="C66" s="106"/>
      <c r="D66" s="106"/>
      <c r="E66" s="106"/>
      <c r="F66" s="106"/>
      <c r="G66" s="106"/>
      <c r="H66" s="107"/>
      <c r="I66" s="87"/>
    </row>
    <row r="67" spans="1:9" x14ac:dyDescent="0.15">
      <c r="A67" s="104"/>
      <c r="B67" s="105" t="s">
        <v>55</v>
      </c>
      <c r="C67" s="106"/>
      <c r="D67" s="106"/>
      <c r="E67" s="106"/>
      <c r="F67" s="106"/>
      <c r="G67" s="106"/>
      <c r="H67" s="107"/>
      <c r="I67" s="87"/>
    </row>
    <row r="68" spans="1:9" x14ac:dyDescent="0.15">
      <c r="A68" s="104"/>
      <c r="B68" s="105" t="s">
        <v>56</v>
      </c>
      <c r="C68" s="106"/>
      <c r="D68" s="106"/>
      <c r="E68" s="106"/>
      <c r="F68" s="106"/>
      <c r="G68" s="106"/>
      <c r="H68" s="107"/>
      <c r="I68" s="87"/>
    </row>
    <row r="69" spans="1:9" x14ac:dyDescent="0.15">
      <c r="A69" s="104"/>
      <c r="B69" s="105" t="s">
        <v>57</v>
      </c>
      <c r="C69" s="106"/>
      <c r="D69" s="106"/>
      <c r="E69" s="106"/>
      <c r="F69" s="106"/>
      <c r="G69" s="106"/>
      <c r="H69" s="107"/>
      <c r="I69" s="87"/>
    </row>
    <row r="70" spans="1:9" x14ac:dyDescent="0.15">
      <c r="A70" s="104"/>
      <c r="B70" s="111"/>
      <c r="C70" s="106"/>
      <c r="D70" s="106"/>
      <c r="E70" s="106"/>
      <c r="F70" s="106"/>
      <c r="G70" s="106"/>
      <c r="H70" s="107"/>
      <c r="I70" s="87"/>
    </row>
    <row r="71" spans="1:9" x14ac:dyDescent="0.15">
      <c r="A71" s="104"/>
      <c r="B71" s="105" t="s">
        <v>58</v>
      </c>
      <c r="C71" s="106"/>
      <c r="D71" s="106"/>
      <c r="E71" s="106"/>
      <c r="F71" s="106"/>
      <c r="G71" s="106"/>
      <c r="H71" s="107"/>
      <c r="I71" s="87"/>
    </row>
    <row r="72" spans="1:9" x14ac:dyDescent="0.15">
      <c r="A72" s="104"/>
      <c r="B72" s="105" t="s">
        <v>59</v>
      </c>
      <c r="C72" s="106"/>
      <c r="D72" s="106"/>
      <c r="E72" s="106"/>
      <c r="F72" s="106"/>
      <c r="G72" s="106"/>
      <c r="H72" s="107"/>
      <c r="I72" s="87"/>
    </row>
    <row r="73" spans="1:9" x14ac:dyDescent="0.15">
      <c r="A73" s="104"/>
      <c r="B73" s="105" t="s">
        <v>60</v>
      </c>
      <c r="C73" s="106"/>
      <c r="D73" s="106"/>
      <c r="E73" s="106"/>
      <c r="F73" s="106"/>
      <c r="G73" s="106"/>
      <c r="H73" s="107"/>
      <c r="I73" s="87"/>
    </row>
    <row r="74" spans="1:9" x14ac:dyDescent="0.15">
      <c r="A74" s="104"/>
      <c r="B74" s="105" t="s">
        <v>61</v>
      </c>
      <c r="C74" s="106"/>
      <c r="D74" s="106"/>
      <c r="E74" s="106"/>
      <c r="F74" s="106"/>
      <c r="G74" s="106"/>
      <c r="H74" s="107"/>
      <c r="I74" s="87"/>
    </row>
    <row r="75" spans="1:9" x14ac:dyDescent="0.15">
      <c r="A75" s="104"/>
      <c r="B75" s="111"/>
      <c r="C75" s="106"/>
      <c r="D75" s="106"/>
      <c r="E75" s="106"/>
      <c r="F75" s="106"/>
      <c r="G75" s="106"/>
      <c r="H75" s="107"/>
      <c r="I75" s="87"/>
    </row>
    <row r="76" spans="1:9" x14ac:dyDescent="0.15">
      <c r="A76" s="104"/>
      <c r="B76" s="105" t="s">
        <v>62</v>
      </c>
      <c r="C76" s="106"/>
      <c r="D76" s="106"/>
      <c r="E76" s="106"/>
      <c r="F76" s="106"/>
      <c r="G76" s="106"/>
      <c r="H76" s="107"/>
      <c r="I76" s="87"/>
    </row>
    <row r="77" spans="1:9" x14ac:dyDescent="0.15">
      <c r="A77" s="104"/>
      <c r="B77" s="105" t="s">
        <v>63</v>
      </c>
      <c r="C77" s="106"/>
      <c r="D77" s="106"/>
      <c r="E77" s="106"/>
      <c r="F77" s="106"/>
      <c r="G77" s="106"/>
      <c r="H77" s="107"/>
      <c r="I77" s="87"/>
    </row>
    <row r="78" spans="1:9" x14ac:dyDescent="0.15">
      <c r="A78" s="104"/>
      <c r="B78" s="105" t="s">
        <v>64</v>
      </c>
      <c r="C78" s="106"/>
      <c r="D78" s="106"/>
      <c r="E78" s="106"/>
      <c r="F78" s="106"/>
      <c r="G78" s="106"/>
      <c r="H78" s="107"/>
      <c r="I78" s="87"/>
    </row>
    <row r="79" spans="1:9" x14ac:dyDescent="0.15">
      <c r="A79" s="108"/>
      <c r="B79" s="109"/>
      <c r="C79" s="91"/>
      <c r="D79" s="91"/>
      <c r="E79" s="91"/>
      <c r="F79" s="91"/>
      <c r="G79" s="91"/>
      <c r="H79" s="92"/>
      <c r="I79" s="87"/>
    </row>
    <row r="80" spans="1:9" x14ac:dyDescent="0.15">
      <c r="A80" s="87"/>
      <c r="B80" s="87"/>
      <c r="C80" s="87"/>
      <c r="D80" s="87"/>
      <c r="E80" s="87"/>
      <c r="F80" s="87"/>
      <c r="G80" s="87"/>
      <c r="H80" s="87"/>
      <c r="I80" s="87"/>
    </row>
    <row r="81" spans="1:9" x14ac:dyDescent="0.15">
      <c r="A81" s="84" t="s">
        <v>65</v>
      </c>
      <c r="B81" s="85"/>
      <c r="C81" s="85"/>
      <c r="D81" s="85"/>
      <c r="E81" s="85"/>
      <c r="F81" s="85"/>
      <c r="G81" s="85"/>
      <c r="H81" s="86"/>
      <c r="I81" s="87"/>
    </row>
    <row r="82" spans="1:9" x14ac:dyDescent="0.15">
      <c r="A82" s="104"/>
      <c r="B82" s="111"/>
      <c r="C82" s="106"/>
      <c r="D82" s="106"/>
      <c r="E82" s="106"/>
      <c r="F82" s="106"/>
      <c r="G82" s="106"/>
      <c r="H82" s="107"/>
      <c r="I82" s="87"/>
    </row>
    <row r="83" spans="1:9" x14ac:dyDescent="0.15">
      <c r="A83" s="104"/>
      <c r="B83" s="111" t="s">
        <v>352</v>
      </c>
      <c r="C83" s="117" t="s">
        <v>351</v>
      </c>
      <c r="D83" s="117"/>
      <c r="E83" s="117"/>
      <c r="F83" s="117"/>
      <c r="G83" s="117"/>
      <c r="H83" s="107"/>
      <c r="I83" s="87"/>
    </row>
    <row r="84" spans="1:9" x14ac:dyDescent="0.15">
      <c r="A84" s="104"/>
      <c r="B84" s="111"/>
      <c r="C84" s="117"/>
      <c r="D84" s="117"/>
      <c r="E84" s="117"/>
      <c r="F84" s="117"/>
      <c r="G84" s="117"/>
      <c r="H84" s="107"/>
      <c r="I84" s="87"/>
    </row>
    <row r="85" spans="1:9" x14ac:dyDescent="0.15">
      <c r="A85" s="104"/>
      <c r="B85" s="105" t="s">
        <v>353</v>
      </c>
      <c r="C85" s="117" t="s">
        <v>66</v>
      </c>
      <c r="D85" s="106"/>
      <c r="E85" s="106"/>
      <c r="F85" s="106"/>
      <c r="G85" s="106"/>
      <c r="H85" s="107"/>
      <c r="I85" s="87"/>
    </row>
    <row r="86" spans="1:9" x14ac:dyDescent="0.15">
      <c r="A86" s="104"/>
      <c r="B86" s="111"/>
      <c r="C86" s="117"/>
      <c r="D86" s="106"/>
      <c r="E86" s="106"/>
      <c r="F86" s="106"/>
      <c r="G86" s="106"/>
      <c r="H86" s="107"/>
      <c r="I86" s="87"/>
    </row>
    <row r="87" spans="1:9" x14ac:dyDescent="0.15">
      <c r="A87" s="104"/>
      <c r="B87" s="105" t="s">
        <v>354</v>
      </c>
      <c r="C87" s="117" t="s">
        <v>67</v>
      </c>
      <c r="D87" s="106"/>
      <c r="E87" s="106"/>
      <c r="F87" s="106"/>
      <c r="G87" s="106"/>
      <c r="H87" s="107"/>
      <c r="I87" s="87"/>
    </row>
    <row r="88" spans="1:9" x14ac:dyDescent="0.15">
      <c r="A88" s="104"/>
      <c r="B88" s="111"/>
      <c r="C88" s="117" t="s">
        <v>68</v>
      </c>
      <c r="D88" s="106"/>
      <c r="E88" s="106"/>
      <c r="F88" s="106"/>
      <c r="G88" s="106"/>
      <c r="H88" s="107"/>
      <c r="I88" s="87"/>
    </row>
    <row r="89" spans="1:9" x14ac:dyDescent="0.15">
      <c r="A89" s="108"/>
      <c r="B89" s="109"/>
      <c r="C89" s="91"/>
      <c r="D89" s="91"/>
      <c r="E89" s="91"/>
      <c r="F89" s="91"/>
      <c r="G89" s="91"/>
      <c r="H89" s="92"/>
      <c r="I89" s="87"/>
    </row>
    <row r="90" spans="1:9" x14ac:dyDescent="0.15">
      <c r="A90" s="87"/>
      <c r="B90" s="87"/>
      <c r="C90" s="87"/>
      <c r="D90" s="87"/>
      <c r="E90" s="87"/>
      <c r="F90" s="87"/>
      <c r="G90" s="87"/>
      <c r="H90" s="87"/>
      <c r="I90" s="87"/>
    </row>
  </sheetData>
  <sheetProtection sheet="1" objects="1" scenarios="1"/>
  <phoneticPr fontId="8"/>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136"/>
  <sheetViews>
    <sheetView topLeftCell="A101" workbookViewId="0">
      <selection activeCell="F104" sqref="F104:G104"/>
    </sheetView>
  </sheetViews>
  <sheetFormatPr defaultColWidth="9" defaultRowHeight="15.75" x14ac:dyDescent="0.15"/>
  <cols>
    <col min="1" max="2" width="2.25" style="1" customWidth="1"/>
    <col min="3" max="9" width="6" style="1" customWidth="1"/>
    <col min="10" max="10" width="5.5" style="1" customWidth="1"/>
    <col min="11" max="18" width="6" style="1" customWidth="1"/>
    <col min="19" max="19" width="9" style="1" customWidth="1"/>
    <col min="20" max="52" width="9" style="1" hidden="1" customWidth="1"/>
    <col min="53" max="16384" width="9" style="1"/>
  </cols>
  <sheetData>
    <row r="1" spans="1:3" hidden="1" x14ac:dyDescent="0.15">
      <c r="A1" s="118" t="s">
        <v>69</v>
      </c>
      <c r="B1" s="2" t="s">
        <v>69</v>
      </c>
      <c r="C1" s="118" t="s">
        <v>70</v>
      </c>
    </row>
    <row r="2" spans="1:3" hidden="1" x14ac:dyDescent="0.15">
      <c r="A2" s="2" t="str">
        <f>ロジックテーブル!C6</f>
        <v>短剣</v>
      </c>
      <c r="B2" s="2" t="s">
        <v>71</v>
      </c>
      <c r="C2" s="2" t="str">
        <f>主原料マスタ!B5</f>
        <v>メノス銅</v>
      </c>
    </row>
    <row r="3" spans="1:3" hidden="1" x14ac:dyDescent="0.15">
      <c r="A3" s="2" t="str">
        <f>ロジックテーブル!C7</f>
        <v>片手剣</v>
      </c>
      <c r="C3" s="2" t="str">
        <f>主原料マスタ!B6</f>
        <v>フォルセナ鉄</v>
      </c>
    </row>
    <row r="4" spans="1:3" hidden="1" x14ac:dyDescent="0.15">
      <c r="A4" s="2" t="str">
        <f>ロジックテーブル!C8</f>
        <v>片手斧</v>
      </c>
      <c r="B4" s="2" t="s">
        <v>72</v>
      </c>
      <c r="C4" s="2" t="str">
        <f>主原料マスタ!B7</f>
        <v>グランス鋼鉄</v>
      </c>
    </row>
    <row r="5" spans="1:3" hidden="1" x14ac:dyDescent="0.15">
      <c r="A5" s="2" t="str">
        <f>ロジックテーブル!C9</f>
        <v>両手剣</v>
      </c>
      <c r="B5" s="2" t="s">
        <v>73</v>
      </c>
      <c r="C5" s="2" t="str">
        <f>主原料マスタ!B8</f>
        <v>ミスリル銀</v>
      </c>
    </row>
    <row r="6" spans="1:3" hidden="1" x14ac:dyDescent="0.15">
      <c r="A6" s="2" t="str">
        <f>ロジックテーブル!C10</f>
        <v>両手斧</v>
      </c>
      <c r="C6" s="2" t="str">
        <f>主原料マスタ!B9</f>
        <v>アストリア銀</v>
      </c>
    </row>
    <row r="7" spans="1:3" hidden="1" x14ac:dyDescent="0.15">
      <c r="A7" s="2" t="str">
        <f>ロジックテーブル!C11</f>
        <v>ハンマー</v>
      </c>
      <c r="C7" s="2" t="str">
        <f>主原料マスタ!B10</f>
        <v>パイゼル金</v>
      </c>
    </row>
    <row r="8" spans="1:3" hidden="1" x14ac:dyDescent="0.15">
      <c r="A8" s="2" t="str">
        <f>ロジックテーブル!C12</f>
        <v>槍</v>
      </c>
      <c r="C8" s="2" t="str">
        <f>主原料マスタ!B11</f>
        <v>イシュ白金</v>
      </c>
    </row>
    <row r="9" spans="1:3" hidden="1" x14ac:dyDescent="0.15">
      <c r="A9" s="2" t="str">
        <f>ロジックテーブル!C13</f>
        <v>杖</v>
      </c>
      <c r="C9" s="2" t="str">
        <f>主原料マスタ!B12</f>
        <v>ロリマー聖鉄</v>
      </c>
    </row>
    <row r="10" spans="1:3" hidden="1" x14ac:dyDescent="0.15">
      <c r="A10" s="2" t="str">
        <f>ロジックテーブル!C14</f>
        <v>ナックル</v>
      </c>
      <c r="C10" s="2" t="str">
        <f>主原料マスタ!B13</f>
        <v>アルテナ合金</v>
      </c>
    </row>
    <row r="11" spans="1:3" hidden="1" x14ac:dyDescent="0.15">
      <c r="A11" s="2" t="str">
        <f>ロジックテーブル!C15</f>
        <v>ヌンチャク</v>
      </c>
      <c r="C11" s="2" t="str">
        <f>主原料マスタ!B14</f>
        <v>マイア鉛</v>
      </c>
    </row>
    <row r="12" spans="1:3" hidden="1" x14ac:dyDescent="0.15">
      <c r="A12" s="2" t="str">
        <f>ロジックテーブル!C16</f>
        <v>弓矢</v>
      </c>
      <c r="C12" s="2" t="str">
        <f>主原料マスタ!B15</f>
        <v>オリハルコン</v>
      </c>
    </row>
    <row r="13" spans="1:3" hidden="1" x14ac:dyDescent="0.15">
      <c r="A13" s="2" t="str">
        <f>ロジックテーブル!C17</f>
        <v>盾</v>
      </c>
      <c r="C13" s="2" t="str">
        <f>主原料マスタ!B16</f>
        <v>かしの木</v>
      </c>
    </row>
    <row r="14" spans="1:3" hidden="1" x14ac:dyDescent="0.15">
      <c r="A14" s="2" t="str">
        <f>ロジックテーブル!C18</f>
        <v>兜</v>
      </c>
      <c r="C14" s="2" t="str">
        <f>主原料マスタ!B17</f>
        <v>ひいらぎの木</v>
      </c>
    </row>
    <row r="15" spans="1:3" hidden="1" x14ac:dyDescent="0.15">
      <c r="A15" s="2" t="str">
        <f>ロジックテーブル!C19</f>
        <v>帽子</v>
      </c>
      <c r="C15" s="2" t="str">
        <f>主原料マスタ!B18</f>
        <v>バオバブの木</v>
      </c>
    </row>
    <row r="16" spans="1:3" hidden="1" x14ac:dyDescent="0.15">
      <c r="A16" s="2" t="str">
        <f>ロジックテーブル!C20</f>
        <v>鎧</v>
      </c>
      <c r="C16" s="2" t="str">
        <f>主原料マスタ!B19</f>
        <v>黒檀</v>
      </c>
    </row>
    <row r="17" spans="1:3" hidden="1" x14ac:dyDescent="0.15">
      <c r="A17" s="2" t="str">
        <f>ロジックテーブル!C21</f>
        <v>全身鎧</v>
      </c>
      <c r="C17" s="2" t="str">
        <f>主原料マスタ!B20</f>
        <v>トネリコの木</v>
      </c>
    </row>
    <row r="18" spans="1:3" hidden="1" x14ac:dyDescent="0.15">
      <c r="A18" s="2" t="str">
        <f>ロジックテーブル!C22</f>
        <v>ローブ</v>
      </c>
      <c r="C18" s="2" t="str">
        <f>主原料マスタ!B21</f>
        <v>ディオールの木</v>
      </c>
    </row>
    <row r="19" spans="1:3" hidden="1" x14ac:dyDescent="0.15">
      <c r="A19" s="2" t="str">
        <f>ロジックテーブル!C23</f>
        <v>小手</v>
      </c>
      <c r="C19" s="2" t="str">
        <f>主原料マスタ!B22</f>
        <v>やどりぎ</v>
      </c>
    </row>
    <row r="20" spans="1:3" hidden="1" x14ac:dyDescent="0.15">
      <c r="A20" s="2" t="str">
        <f>ロジックテーブル!C24</f>
        <v>ブーツ</v>
      </c>
      <c r="C20" s="2" t="str">
        <f>主原料マスタ!B23</f>
        <v>化石樹</v>
      </c>
    </row>
    <row r="21" spans="1:3" hidden="1" x14ac:dyDescent="0.15">
      <c r="A21" s="2" t="str">
        <f>ロジックテーブル!C25</f>
        <v>サンダル</v>
      </c>
      <c r="C21" s="2" t="str">
        <f>主原料マスタ!B24</f>
        <v>大理石</v>
      </c>
    </row>
    <row r="22" spans="1:3" hidden="1" x14ac:dyDescent="0.15">
      <c r="A22" s="2" t="str">
        <f>ロジックテーブル!C26</f>
        <v>マント</v>
      </c>
      <c r="C22" s="2" t="str">
        <f>主原料マスタ!B25</f>
        <v>黒曜石</v>
      </c>
    </row>
    <row r="23" spans="1:3" hidden="1" x14ac:dyDescent="0.15">
      <c r="A23" s="2" t="str">
        <f>ロジックテーブル!C27</f>
        <v>リング</v>
      </c>
      <c r="C23" s="2" t="str">
        <f>主原料マスタ!B26</f>
        <v>ペダン石</v>
      </c>
    </row>
    <row r="24" spans="1:3" hidden="1" x14ac:dyDescent="0.15">
      <c r="A24" s="2" t="str">
        <f>ロジックテーブル!C28</f>
        <v>ペンダント</v>
      </c>
      <c r="C24" s="2" t="str">
        <f>主原料マスタ!B27</f>
        <v>ガイアの涙</v>
      </c>
    </row>
    <row r="25" spans="1:3" hidden="1" x14ac:dyDescent="0.15">
      <c r="A25" s="2" t="str">
        <f>ロジックテーブル!C29</f>
        <v>ハープ</v>
      </c>
      <c r="C25" s="2" t="str">
        <f>主原料マスタ!B28</f>
        <v>獣の革</v>
      </c>
    </row>
    <row r="26" spans="1:3" hidden="1" x14ac:dyDescent="0.15">
      <c r="A26" s="2" t="str">
        <f>ロジックテーブル!C30</f>
        <v>マリンバ</v>
      </c>
      <c r="C26" s="2" t="str">
        <f>主原料マスタ!B29</f>
        <v>ワニ革</v>
      </c>
    </row>
    <row r="27" spans="1:3" hidden="1" x14ac:dyDescent="0.15">
      <c r="A27" s="2" t="str">
        <f>ロジックテーブル!C31</f>
        <v>フルート</v>
      </c>
      <c r="C27" s="2" t="str">
        <f>主原料マスタ!B30</f>
        <v>鉄甲獣の革</v>
      </c>
    </row>
    <row r="28" spans="1:3" hidden="1" x14ac:dyDescent="0.15">
      <c r="A28" s="2" t="str">
        <f>ロジックテーブル!C32</f>
        <v>ドラム</v>
      </c>
      <c r="C28" s="2" t="str">
        <f>主原料マスタ!B31</f>
        <v>飛竜の革</v>
      </c>
    </row>
    <row r="29" spans="1:3" hidden="1" x14ac:dyDescent="0.15">
      <c r="C29" s="2" t="str">
        <f>主原料マスタ!B32</f>
        <v>魚鱗</v>
      </c>
    </row>
    <row r="30" spans="1:3" hidden="1" x14ac:dyDescent="0.15">
      <c r="C30" s="2" t="str">
        <f>主原料マスタ!B33</f>
        <v>トカゲの鱗</v>
      </c>
    </row>
    <row r="31" spans="1:3" hidden="1" x14ac:dyDescent="0.15">
      <c r="C31" s="2" t="str">
        <f>主原料マスタ!B34</f>
        <v>ヘビの鱗</v>
      </c>
    </row>
    <row r="32" spans="1:3" hidden="1" x14ac:dyDescent="0.15">
      <c r="C32" s="2" t="str">
        <f>主原料マスタ!B35</f>
        <v>竜鱗</v>
      </c>
    </row>
    <row r="33" spans="3:3" hidden="1" x14ac:dyDescent="0.15">
      <c r="C33" s="2" t="str">
        <f>主原料マスタ!B36</f>
        <v>獣の骨</v>
      </c>
    </row>
    <row r="34" spans="3:3" hidden="1" x14ac:dyDescent="0.15">
      <c r="C34" s="2" t="str">
        <f>主原料マスタ!B37</f>
        <v>象牙</v>
      </c>
    </row>
    <row r="35" spans="3:3" hidden="1" x14ac:dyDescent="0.15">
      <c r="C35" s="2" t="str">
        <f>主原料マスタ!B38</f>
        <v>呪われた骨</v>
      </c>
    </row>
    <row r="36" spans="3:3" hidden="1" x14ac:dyDescent="0.15">
      <c r="C36" s="2" t="str">
        <f>主原料マスタ!B39</f>
        <v>化石</v>
      </c>
    </row>
    <row r="37" spans="3:3" hidden="1" x14ac:dyDescent="0.15">
      <c r="C37" s="2" t="str">
        <f>主原料マスタ!B40</f>
        <v>トップル木綿</v>
      </c>
    </row>
    <row r="38" spans="3:3" hidden="1" x14ac:dyDescent="0.15">
      <c r="C38" s="2" t="str">
        <f>主原料マスタ!B41</f>
        <v>サルタン絹布</v>
      </c>
    </row>
    <row r="39" spans="3:3" hidden="1" x14ac:dyDescent="0.15">
      <c r="C39" s="2" t="str">
        <f>主原料マスタ!B42</f>
        <v>ジャドヘンプ</v>
      </c>
    </row>
    <row r="40" spans="3:3" hidden="1" x14ac:dyDescent="0.15">
      <c r="C40" s="2" t="str">
        <f>主原料マスタ!B43</f>
        <v>アルテナフェルト</v>
      </c>
    </row>
    <row r="41" spans="3:3" hidden="1" x14ac:dyDescent="0.15">
      <c r="C41" s="2" t="str">
        <f>主原料マスタ!B44</f>
        <v>ジャコビニ隕石</v>
      </c>
    </row>
    <row r="42" spans="3:3" hidden="1" x14ac:dyDescent="0.15">
      <c r="C42" s="2" t="str">
        <f>主原料マスタ!B45</f>
        <v>ハレー隕石</v>
      </c>
    </row>
    <row r="43" spans="3:3" hidden="1" x14ac:dyDescent="0.15">
      <c r="C43" s="2" t="str">
        <f>主原料マスタ!B46</f>
        <v>アンク隕石</v>
      </c>
    </row>
    <row r="44" spans="3:3" hidden="1" x14ac:dyDescent="0.15">
      <c r="C44" s="2" t="str">
        <f>主原料マスタ!B47</f>
        <v>ヴィネック隕石</v>
      </c>
    </row>
    <row r="45" spans="3:3" hidden="1" x14ac:dyDescent="0.15">
      <c r="C45" s="2" t="str">
        <f>主原料マスタ!B48</f>
        <v>タトル隕石</v>
      </c>
    </row>
    <row r="46" spans="3:3" hidden="1" x14ac:dyDescent="0.15">
      <c r="C46" s="2" t="str">
        <f>主原料マスタ!B49</f>
        <v>ネメシス隕石</v>
      </c>
    </row>
    <row r="47" spans="3:3" hidden="1" x14ac:dyDescent="0.15">
      <c r="C47" s="2" t="str">
        <f>主原料マスタ!B50</f>
        <v>ビエラ隕石</v>
      </c>
    </row>
    <row r="48" spans="3:3" hidden="1" x14ac:dyDescent="0.15">
      <c r="C48" s="2" t="str">
        <f>主原料マスタ!B51</f>
        <v>スウィフト隕石</v>
      </c>
    </row>
    <row r="49" spans="3:3" hidden="1" x14ac:dyDescent="0.15">
      <c r="C49" s="2" t="str">
        <f>主原料マスタ!B52</f>
        <v>アダマンタイト</v>
      </c>
    </row>
    <row r="50" spans="3:3" hidden="1" x14ac:dyDescent="0.15">
      <c r="C50" s="2" t="str">
        <f>主原料マスタ!B53</f>
        <v>フルメタル</v>
      </c>
    </row>
    <row r="51" spans="3:3" hidden="1" x14ac:dyDescent="0.15">
      <c r="C51" s="2" t="str">
        <f>主原料マスタ!B54</f>
        <v>サンゴ</v>
      </c>
    </row>
    <row r="52" spans="3:3" hidden="1" x14ac:dyDescent="0.15">
      <c r="C52" s="2" t="str">
        <f>主原料マスタ!B55</f>
        <v>甲羅</v>
      </c>
    </row>
    <row r="53" spans="3:3" hidden="1" x14ac:dyDescent="0.15">
      <c r="C53" s="2" t="str">
        <f>主原料マスタ!B56</f>
        <v>貝殻</v>
      </c>
    </row>
    <row r="54" spans="3:3" hidden="1" x14ac:dyDescent="0.15">
      <c r="C54" s="2" t="str">
        <f>主原料マスタ!B57</f>
        <v>エメラルド</v>
      </c>
    </row>
    <row r="55" spans="3:3" hidden="1" x14ac:dyDescent="0.15">
      <c r="C55" s="2" t="str">
        <f>主原料マスタ!B58</f>
        <v>パール</v>
      </c>
    </row>
    <row r="56" spans="3:3" hidden="1" x14ac:dyDescent="0.15">
      <c r="C56" s="2" t="str">
        <f>主原料マスタ!B59</f>
        <v>ラピスラズリ</v>
      </c>
    </row>
    <row r="57" spans="3:3" hidden="1" x14ac:dyDescent="0.15"/>
    <row r="58" spans="3:3" hidden="1" x14ac:dyDescent="0.15"/>
    <row r="59" spans="3:3" hidden="1" x14ac:dyDescent="0.15"/>
    <row r="60" spans="3:3" hidden="1" x14ac:dyDescent="0.15"/>
    <row r="61" spans="3:3" hidden="1" x14ac:dyDescent="0.15"/>
    <row r="62" spans="3:3" hidden="1" x14ac:dyDescent="0.15"/>
    <row r="63" spans="3:3" hidden="1" x14ac:dyDescent="0.15"/>
    <row r="64" spans="3:3"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spans="1:28" hidden="1" x14ac:dyDescent="0.15"/>
    <row r="98" spans="1:28" hidden="1" x14ac:dyDescent="0.15"/>
    <row r="99" spans="1:28" hidden="1" x14ac:dyDescent="0.15"/>
    <row r="100" spans="1:28" hidden="1" x14ac:dyDescent="0.15"/>
    <row r="101" spans="1:28" x14ac:dyDescent="0.15">
      <c r="A101" s="2" t="s">
        <v>74</v>
      </c>
    </row>
    <row r="103" spans="1:28" x14ac:dyDescent="0.15">
      <c r="B103" s="62" t="s">
        <v>75</v>
      </c>
      <c r="C103" s="63"/>
      <c r="D103" s="63"/>
      <c r="E103" s="63"/>
      <c r="F103" s="63"/>
      <c r="G103" s="63"/>
      <c r="H103" s="63"/>
      <c r="I103" s="63"/>
      <c r="J103" s="63"/>
      <c r="K103" s="63"/>
      <c r="L103" s="63"/>
      <c r="M103" s="63"/>
      <c r="N103" s="63"/>
      <c r="O103" s="63"/>
      <c r="P103" s="63"/>
      <c r="Q103" s="63"/>
      <c r="R103" s="79"/>
      <c r="T103" s="2" t="s">
        <v>76</v>
      </c>
      <c r="U103" s="1">
        <f>IF(AB104=0,"",IF(F104&lt;&gt;"使用しない",MIN(MAX(E105,10),200),10))</f>
        <v>75</v>
      </c>
      <c r="V103" s="2" t="s">
        <v>77</v>
      </c>
      <c r="W103" s="2" t="str">
        <f>IF(AB104=0,"",INDEX(ボディマスタ!$C$5:$C$16,MATCH(F104,ボディマスタ!$B$5:$B$16,0),))</f>
        <v>ハンマー</v>
      </c>
    </row>
    <row r="104" spans="1:28" x14ac:dyDescent="0.15">
      <c r="B104" s="64"/>
      <c r="C104" s="65" t="s">
        <v>78</v>
      </c>
      <c r="D104" s="63"/>
      <c r="E104" s="63"/>
      <c r="F104" s="119" t="s">
        <v>79</v>
      </c>
      <c r="G104" s="119"/>
      <c r="H104" s="63"/>
      <c r="I104" s="63"/>
      <c r="J104" s="79"/>
      <c r="K104" s="63" t="s">
        <v>80</v>
      </c>
      <c r="L104" s="63"/>
      <c r="M104" s="63"/>
      <c r="N104" s="119" t="s">
        <v>71</v>
      </c>
      <c r="O104" s="119"/>
      <c r="P104" s="63"/>
      <c r="Q104" s="63"/>
      <c r="R104" s="79"/>
      <c r="U104" s="2" t="s">
        <v>81</v>
      </c>
      <c r="V104" s="2" t="s">
        <v>82</v>
      </c>
      <c r="W104" s="2" t="s">
        <v>83</v>
      </c>
      <c r="X104" s="2" t="s">
        <v>84</v>
      </c>
      <c r="Y104" s="2" t="s">
        <v>85</v>
      </c>
      <c r="AA104" s="2" t="s">
        <v>86</v>
      </c>
      <c r="AB104" s="1">
        <f>IF(AND(F104="使用しない",SUM(V105:X108)=0),0,1)</f>
        <v>1</v>
      </c>
    </row>
    <row r="105" spans="1:28" x14ac:dyDescent="0.15">
      <c r="B105" s="64"/>
      <c r="C105" s="66" t="s">
        <v>76</v>
      </c>
      <c r="D105" s="67"/>
      <c r="E105" s="46">
        <v>75</v>
      </c>
      <c r="F105" s="68"/>
      <c r="G105" s="69"/>
      <c r="H105" s="69"/>
      <c r="I105" s="69"/>
      <c r="J105" s="80"/>
      <c r="K105" s="66" t="s">
        <v>87</v>
      </c>
      <c r="L105" s="39">
        <v>18</v>
      </c>
      <c r="M105" s="66" t="s">
        <v>88</v>
      </c>
      <c r="N105" s="39">
        <v>20</v>
      </c>
      <c r="O105" s="66" t="s">
        <v>89</v>
      </c>
      <c r="P105" s="46">
        <v>10</v>
      </c>
      <c r="Q105" s="66" t="s">
        <v>90</v>
      </c>
      <c r="R105" s="46">
        <v>5</v>
      </c>
      <c r="T105" s="2" t="s">
        <v>87</v>
      </c>
      <c r="U105" s="2" t="s">
        <v>91</v>
      </c>
      <c r="V105" s="1">
        <f>IF(N104&lt;&gt;"使用しない",L105,0)</f>
        <v>18</v>
      </c>
      <c r="W105" s="1">
        <f>IF(F108&lt;&gt;"使用しない",D109,0)</f>
        <v>2</v>
      </c>
      <c r="X105" s="1">
        <f>IF(N108&lt;&gt;"使用しない",L109,0)</f>
        <v>0</v>
      </c>
      <c r="Y105" s="1">
        <f>IF(AB104=0,"",MIN(MAX(SUM(V105:X105),0),99))</f>
        <v>20</v>
      </c>
    </row>
    <row r="106" spans="1:28" x14ac:dyDescent="0.15">
      <c r="B106" s="64"/>
      <c r="C106" s="66" t="s">
        <v>92</v>
      </c>
      <c r="D106" s="46">
        <v>0</v>
      </c>
      <c r="E106" s="66" t="s">
        <v>93</v>
      </c>
      <c r="F106" s="46">
        <v>0</v>
      </c>
      <c r="G106" s="66" t="s">
        <v>94</v>
      </c>
      <c r="H106" s="39">
        <v>0</v>
      </c>
      <c r="I106" s="66" t="s">
        <v>95</v>
      </c>
      <c r="J106" s="46">
        <v>0</v>
      </c>
      <c r="K106" s="66" t="s">
        <v>92</v>
      </c>
      <c r="L106" s="39">
        <v>0</v>
      </c>
      <c r="M106" s="66" t="s">
        <v>93</v>
      </c>
      <c r="N106" s="39">
        <v>0</v>
      </c>
      <c r="O106" s="66" t="s">
        <v>94</v>
      </c>
      <c r="P106" s="46">
        <v>0</v>
      </c>
      <c r="Q106" s="66" t="s">
        <v>95</v>
      </c>
      <c r="R106" s="46">
        <v>0</v>
      </c>
      <c r="T106" s="2" t="s">
        <v>88</v>
      </c>
      <c r="U106" s="2" t="s">
        <v>91</v>
      </c>
      <c r="V106" s="1">
        <f>IF(N104&lt;&gt;"使用しない",N105,0)</f>
        <v>20</v>
      </c>
      <c r="W106" s="1">
        <f>IF(F108&lt;&gt;"使用しない",F109,0)</f>
        <v>2</v>
      </c>
      <c r="X106" s="1">
        <f>IF(N108&lt;&gt;"使用しない",N109,0)</f>
        <v>0</v>
      </c>
      <c r="Y106" s="1">
        <f>IF(AB104=0,"",MIN(MAX(SUM(V106:X106),0),99))</f>
        <v>22</v>
      </c>
      <c r="AA106" s="2" t="s">
        <v>96</v>
      </c>
      <c r="AB106" s="1">
        <f>IF(W103="ノーマル",0,U103)+SUM(V105:X108)</f>
        <v>141</v>
      </c>
    </row>
    <row r="107" spans="1:28" x14ac:dyDescent="0.15">
      <c r="B107" s="64"/>
      <c r="C107" s="66" t="s">
        <v>97</v>
      </c>
      <c r="D107" s="46">
        <v>0</v>
      </c>
      <c r="E107" s="66" t="s">
        <v>98</v>
      </c>
      <c r="F107" s="46">
        <v>4</v>
      </c>
      <c r="G107" s="66" t="s">
        <v>99</v>
      </c>
      <c r="H107" s="39">
        <v>4</v>
      </c>
      <c r="I107" s="66" t="s">
        <v>100</v>
      </c>
      <c r="J107" s="46">
        <v>0</v>
      </c>
      <c r="K107" s="66" t="s">
        <v>97</v>
      </c>
      <c r="L107" s="39">
        <v>0</v>
      </c>
      <c r="M107" s="66" t="s">
        <v>98</v>
      </c>
      <c r="N107" s="39">
        <v>0</v>
      </c>
      <c r="O107" s="66" t="s">
        <v>99</v>
      </c>
      <c r="P107" s="46">
        <v>0</v>
      </c>
      <c r="Q107" s="66" t="s">
        <v>100</v>
      </c>
      <c r="R107" s="46">
        <v>0</v>
      </c>
      <c r="T107" s="2" t="s">
        <v>89</v>
      </c>
      <c r="U107" s="2" t="s">
        <v>91</v>
      </c>
      <c r="V107" s="1">
        <f>IF(N104&lt;&gt;"使用しない",P105,0)</f>
        <v>10</v>
      </c>
      <c r="W107" s="1">
        <f>IF(F108&lt;&gt;"使用しない",H109,0)</f>
        <v>1</v>
      </c>
      <c r="X107" s="1">
        <f>IF(N108&lt;&gt;"使用しない",P109,0)</f>
        <v>0</v>
      </c>
      <c r="Y107" s="1">
        <f>IF(AB104=0,"",MIN(MAX(SUM(V107:X107),0),99))</f>
        <v>11</v>
      </c>
    </row>
    <row r="108" spans="1:28" x14ac:dyDescent="0.15">
      <c r="B108" s="64"/>
      <c r="C108" s="65" t="s">
        <v>80</v>
      </c>
      <c r="D108" s="63"/>
      <c r="E108" s="63"/>
      <c r="F108" s="119" t="s">
        <v>71</v>
      </c>
      <c r="G108" s="119"/>
      <c r="H108" s="63"/>
      <c r="I108" s="63"/>
      <c r="J108" s="79"/>
      <c r="K108" s="63" t="s">
        <v>80</v>
      </c>
      <c r="L108" s="63"/>
      <c r="M108" s="63"/>
      <c r="N108" s="119" t="s">
        <v>71</v>
      </c>
      <c r="O108" s="119"/>
      <c r="P108" s="63"/>
      <c r="Q108" s="63"/>
      <c r="R108" s="79"/>
      <c r="T108" s="2" t="s">
        <v>90</v>
      </c>
      <c r="U108" s="2" t="s">
        <v>91</v>
      </c>
      <c r="V108" s="1">
        <f>IF(N104&lt;&gt;"使用しない",R105,0)</f>
        <v>5</v>
      </c>
      <c r="W108" s="1">
        <f>IF(F108&lt;&gt;"使用しない",J109,0)</f>
        <v>0</v>
      </c>
      <c r="X108" s="1">
        <f>IF(N108&lt;&gt;"使用しない",R109,0)</f>
        <v>8</v>
      </c>
      <c r="Y108" s="1">
        <f>IF(AB104=0,"",MIN(MAX(SUM(V108:X108),0),99))</f>
        <v>13</v>
      </c>
      <c r="AA108" s="2" t="s">
        <v>101</v>
      </c>
      <c r="AB108" s="1">
        <f>ROUNDDOWN(AB106*2.5,0)</f>
        <v>352</v>
      </c>
    </row>
    <row r="109" spans="1:28" x14ac:dyDescent="0.15">
      <c r="B109" s="64"/>
      <c r="C109" s="66" t="s">
        <v>87</v>
      </c>
      <c r="D109" s="46">
        <v>2</v>
      </c>
      <c r="E109" s="66" t="s">
        <v>88</v>
      </c>
      <c r="F109" s="46">
        <v>2</v>
      </c>
      <c r="G109" s="66" t="s">
        <v>89</v>
      </c>
      <c r="H109" s="39">
        <v>1</v>
      </c>
      <c r="I109" s="66" t="s">
        <v>90</v>
      </c>
      <c r="J109" s="46">
        <v>0</v>
      </c>
      <c r="K109" s="66" t="s">
        <v>87</v>
      </c>
      <c r="L109" s="39">
        <v>0</v>
      </c>
      <c r="M109" s="66" t="s">
        <v>88</v>
      </c>
      <c r="N109" s="39">
        <v>0</v>
      </c>
      <c r="O109" s="66" t="s">
        <v>89</v>
      </c>
      <c r="P109" s="46">
        <v>0</v>
      </c>
      <c r="Q109" s="66" t="s">
        <v>90</v>
      </c>
      <c r="R109" s="46">
        <v>8</v>
      </c>
      <c r="T109" s="2" t="s">
        <v>92</v>
      </c>
      <c r="U109" s="1">
        <f>IF(F104&lt;&gt;"使用しない",D106,0)</f>
        <v>0</v>
      </c>
      <c r="V109" s="1">
        <f>IF(N104&lt;&gt;"使用しない",L106,0)</f>
        <v>0</v>
      </c>
      <c r="W109" s="1">
        <f>IF(F108&lt;&gt;"使用しない",D110,0)</f>
        <v>0</v>
      </c>
      <c r="X109" s="1">
        <f>IF(N108&lt;&gt;"使用しない",L110,0)</f>
        <v>-1</v>
      </c>
      <c r="Y109" s="1">
        <f>IF(AB104=0,"",MIN(MAX(SUM(U109:X109)*5+20,20),99))</f>
        <v>20</v>
      </c>
    </row>
    <row r="110" spans="1:28" x14ac:dyDescent="0.15">
      <c r="B110" s="64"/>
      <c r="C110" s="66" t="s">
        <v>92</v>
      </c>
      <c r="D110" s="46">
        <v>0</v>
      </c>
      <c r="E110" s="66" t="s">
        <v>93</v>
      </c>
      <c r="F110" s="46">
        <v>0</v>
      </c>
      <c r="G110" s="66" t="s">
        <v>94</v>
      </c>
      <c r="H110" s="39">
        <v>0</v>
      </c>
      <c r="I110" s="66" t="s">
        <v>95</v>
      </c>
      <c r="J110" s="46">
        <v>0</v>
      </c>
      <c r="K110" s="66" t="s">
        <v>92</v>
      </c>
      <c r="L110" s="39">
        <v>-1</v>
      </c>
      <c r="M110" s="66" t="s">
        <v>93</v>
      </c>
      <c r="N110" s="39">
        <v>0</v>
      </c>
      <c r="O110" s="66" t="s">
        <v>94</v>
      </c>
      <c r="P110" s="46">
        <v>0</v>
      </c>
      <c r="Q110" s="66" t="s">
        <v>95</v>
      </c>
      <c r="R110" s="46">
        <v>-1</v>
      </c>
      <c r="T110" s="2" t="s">
        <v>93</v>
      </c>
      <c r="U110" s="1">
        <f>IF(F104&lt;&gt;"使用しない",F106,0)</f>
        <v>0</v>
      </c>
      <c r="V110" s="1">
        <f>IF(N104&lt;&gt;"使用しない",N106,0)</f>
        <v>0</v>
      </c>
      <c r="W110" s="1">
        <f>IF(F108&lt;&gt;"使用しない",F110,0)</f>
        <v>0</v>
      </c>
      <c r="X110" s="1">
        <f>IF(N108&lt;&gt;"使用しない",N110,0)</f>
        <v>0</v>
      </c>
      <c r="Y110" s="1">
        <f>IF(AB104=0,"",MIN(MAX(SUM(U110:X110)*5+20,20),99))</f>
        <v>20</v>
      </c>
      <c r="AA110" s="2" t="s">
        <v>102</v>
      </c>
      <c r="AB110" s="1">
        <f>IF(AB104=0,"",MIN(MAX(AB108,50),999))</f>
        <v>352</v>
      </c>
    </row>
    <row r="111" spans="1:28" x14ac:dyDescent="0.15">
      <c r="B111" s="64"/>
      <c r="C111" s="66" t="s">
        <v>97</v>
      </c>
      <c r="D111" s="46">
        <v>0</v>
      </c>
      <c r="E111" s="66" t="s">
        <v>98</v>
      </c>
      <c r="F111" s="46">
        <v>0</v>
      </c>
      <c r="G111" s="66" t="s">
        <v>99</v>
      </c>
      <c r="H111" s="39">
        <v>0</v>
      </c>
      <c r="I111" s="66" t="s">
        <v>100</v>
      </c>
      <c r="J111" s="46">
        <v>0</v>
      </c>
      <c r="K111" s="66" t="s">
        <v>97</v>
      </c>
      <c r="L111" s="39">
        <v>-1</v>
      </c>
      <c r="M111" s="66" t="s">
        <v>98</v>
      </c>
      <c r="N111" s="39">
        <v>0</v>
      </c>
      <c r="O111" s="66" t="s">
        <v>99</v>
      </c>
      <c r="P111" s="46">
        <v>0</v>
      </c>
      <c r="Q111" s="66" t="s">
        <v>100</v>
      </c>
      <c r="R111" s="46">
        <v>4</v>
      </c>
      <c r="T111" s="2" t="s">
        <v>94</v>
      </c>
      <c r="U111" s="1">
        <f>IF(F104&lt;&gt;"使用しない",H106,0)</f>
        <v>0</v>
      </c>
      <c r="V111" s="1">
        <f>IF(N104&lt;&gt;"使用しない",P106,0)</f>
        <v>0</v>
      </c>
      <c r="W111" s="1">
        <f>IF(F108&lt;&gt;"使用しない",H110,0)</f>
        <v>0</v>
      </c>
      <c r="X111" s="1">
        <f>IF(N108&lt;&gt;"使用しない",P110,0)</f>
        <v>0</v>
      </c>
      <c r="Y111" s="1">
        <f>IF(AB104=0,"",MIN(MAX(SUM(U111:X111)*5+20,20),99))</f>
        <v>20</v>
      </c>
    </row>
    <row r="112" spans="1:28" x14ac:dyDescent="0.15">
      <c r="B112" s="64"/>
      <c r="C112" s="65" t="s">
        <v>103</v>
      </c>
      <c r="D112" s="63"/>
      <c r="E112" s="63"/>
      <c r="F112" s="63"/>
      <c r="G112" s="63"/>
      <c r="H112" s="63"/>
      <c r="I112" s="63"/>
      <c r="J112" s="63"/>
      <c r="K112" s="63"/>
      <c r="L112" s="63"/>
      <c r="M112" s="63"/>
      <c r="N112" s="63"/>
      <c r="O112" s="63"/>
      <c r="P112" s="63"/>
      <c r="Q112" s="63"/>
      <c r="R112" s="79"/>
      <c r="T112" s="2" t="s">
        <v>95</v>
      </c>
      <c r="U112" s="1">
        <f>IF(F104&lt;&gt;"使用しない",J106,0)</f>
        <v>0</v>
      </c>
      <c r="V112" s="1">
        <f>IF(N104&lt;&gt;"使用しない",R106,0)</f>
        <v>0</v>
      </c>
      <c r="W112" s="1">
        <f>IF(F108&lt;&gt;"使用しない",J110,0)</f>
        <v>0</v>
      </c>
      <c r="X112" s="1">
        <f>IF(N108&lt;&gt;"使用しない",R110,0)</f>
        <v>-1</v>
      </c>
      <c r="Y112" s="1">
        <f>IF(AB104=0,"",MIN(MAX(SUM(U112:X112)*5+20,20),99))</f>
        <v>20</v>
      </c>
      <c r="AA112" s="2" t="s">
        <v>104</v>
      </c>
      <c r="AB112" s="1">
        <f>(CEILING(SUM(V105:V108),1000)+CEILING(SUM(W105:W108),1000)+CEILING(SUM(X105:X108),1000))/1000</f>
        <v>3</v>
      </c>
    </row>
    <row r="113" spans="2:47" x14ac:dyDescent="0.15">
      <c r="B113" s="64"/>
      <c r="C113" s="120" t="s">
        <v>105</v>
      </c>
      <c r="D113" s="121"/>
      <c r="E113" s="70">
        <f>AB110</f>
        <v>352</v>
      </c>
      <c r="F113" s="71"/>
      <c r="G113" s="122" t="s">
        <v>106</v>
      </c>
      <c r="H113" s="123"/>
      <c r="I113" s="123"/>
      <c r="J113" s="124"/>
      <c r="K113" s="81" t="s">
        <v>92</v>
      </c>
      <c r="L113" s="72">
        <f>Y109</f>
        <v>20</v>
      </c>
      <c r="M113" s="81" t="s">
        <v>93</v>
      </c>
      <c r="N113" s="72">
        <f>Y110</f>
        <v>20</v>
      </c>
      <c r="O113" s="81" t="s">
        <v>94</v>
      </c>
      <c r="P113" s="71">
        <f>Y111</f>
        <v>20</v>
      </c>
      <c r="Q113" s="81" t="s">
        <v>95</v>
      </c>
      <c r="R113" s="71">
        <f>Y112</f>
        <v>20</v>
      </c>
      <c r="T113" s="2" t="s">
        <v>97</v>
      </c>
      <c r="U113" s="1">
        <f>IF(F104&lt;&gt;"使用しない",D107,0)</f>
        <v>0</v>
      </c>
      <c r="V113" s="1">
        <f>IF(N104&lt;&gt;"使用しない",L107,0)</f>
        <v>0</v>
      </c>
      <c r="W113" s="1">
        <f>IF(F108&lt;&gt;"使用しない",D111,0)</f>
        <v>0</v>
      </c>
      <c r="X113" s="1">
        <f>IF(N108&lt;&gt;"使用しない",L111,0)</f>
        <v>-1</v>
      </c>
      <c r="Y113" s="1">
        <f>IF(AB104=0,"",MIN(MAX(SUM(U113:X113)*5+20,20),99))</f>
        <v>20</v>
      </c>
    </row>
    <row r="114" spans="2:47" x14ac:dyDescent="0.15">
      <c r="B114" s="64"/>
      <c r="C114" s="120" t="s">
        <v>107</v>
      </c>
      <c r="D114" s="121"/>
      <c r="E114" s="125" t="str">
        <f>W103</f>
        <v>ハンマー</v>
      </c>
      <c r="F114" s="126"/>
      <c r="G114" s="74"/>
      <c r="H114" s="127" t="str">
        <f>AB116</f>
        <v>6×6</v>
      </c>
      <c r="I114" s="127"/>
      <c r="J114" s="128"/>
      <c r="K114" s="81" t="s">
        <v>97</v>
      </c>
      <c r="L114" s="72">
        <f>Y113</f>
        <v>20</v>
      </c>
      <c r="M114" s="81" t="s">
        <v>98</v>
      </c>
      <c r="N114" s="72">
        <f>Y114</f>
        <v>40</v>
      </c>
      <c r="O114" s="81" t="s">
        <v>99</v>
      </c>
      <c r="P114" s="71">
        <f>Y115</f>
        <v>40</v>
      </c>
      <c r="Q114" s="81" t="s">
        <v>100</v>
      </c>
      <c r="R114" s="71">
        <f>Y116</f>
        <v>40</v>
      </c>
      <c r="T114" s="2" t="s">
        <v>98</v>
      </c>
      <c r="U114" s="1">
        <f>IF(F104&lt;&gt;"使用しない",F107,0)</f>
        <v>4</v>
      </c>
      <c r="V114" s="1">
        <f>IF(N104&lt;&gt;"使用しない",N107,0)</f>
        <v>0</v>
      </c>
      <c r="W114" s="1">
        <f>IF(F108&lt;&gt;"使用しない",F111,0)</f>
        <v>0</v>
      </c>
      <c r="X114" s="1">
        <f>IF(N108&lt;&gt;"使用しない",N111,0)</f>
        <v>0</v>
      </c>
      <c r="Y114" s="1">
        <f>IF(AB104=0,"",MIN(MAX(SUM(U114:X114)*5+20,20),99))</f>
        <v>40</v>
      </c>
      <c r="AA114" s="2" t="s">
        <v>108</v>
      </c>
      <c r="AB114" s="2" t="str">
        <f>IF(AB104=0,"",INDEX(ボディマスタ!$F$5:$F$8,MATCH(AB112,ボディマスタ!$E$5:$E$8,0),)&amp;"%")</f>
        <v>15%</v>
      </c>
    </row>
    <row r="115" spans="2:47" x14ac:dyDescent="0.15">
      <c r="B115" s="64"/>
      <c r="C115" s="120" t="s">
        <v>108</v>
      </c>
      <c r="D115" s="121"/>
      <c r="E115" s="75" t="str">
        <f>AB114</f>
        <v>15%</v>
      </c>
      <c r="F115" s="71"/>
      <c r="G115" s="76"/>
      <c r="H115" s="76"/>
      <c r="I115" s="76"/>
      <c r="J115" s="76"/>
      <c r="K115" s="81" t="s">
        <v>76</v>
      </c>
      <c r="L115" s="82"/>
      <c r="M115" s="73">
        <f>U103</f>
        <v>75</v>
      </c>
      <c r="N115" s="68"/>
      <c r="O115" s="69"/>
      <c r="P115" s="69"/>
      <c r="Q115" s="69"/>
      <c r="R115" s="80"/>
      <c r="T115" s="2" t="s">
        <v>99</v>
      </c>
      <c r="U115" s="1">
        <f>IF(F104&lt;&gt;"使用しない",H107,0)</f>
        <v>4</v>
      </c>
      <c r="V115" s="1">
        <f>IF(N104&lt;&gt;"使用しない",P107,0)</f>
        <v>0</v>
      </c>
      <c r="W115" s="1">
        <f>IF(F108&lt;&gt;"使用しない",H111,0)</f>
        <v>0</v>
      </c>
      <c r="X115" s="1">
        <f>IF(N108&lt;&gt;"使用しない",P111,0)</f>
        <v>0</v>
      </c>
      <c r="Y115" s="1">
        <f>IF(AB104=0,"",MIN(MAX(SUM(U115:X115)*5+20,20),99))</f>
        <v>40</v>
      </c>
    </row>
    <row r="116" spans="2:47" x14ac:dyDescent="0.15">
      <c r="B116" s="77"/>
      <c r="C116" s="77"/>
      <c r="D116" s="78"/>
      <c r="E116" s="78"/>
      <c r="F116" s="78"/>
      <c r="G116" s="78"/>
      <c r="H116" s="78"/>
      <c r="I116" s="78"/>
      <c r="J116" s="78"/>
      <c r="K116" s="81" t="s">
        <v>87</v>
      </c>
      <c r="L116" s="72">
        <f>Y105</f>
        <v>20</v>
      </c>
      <c r="M116" s="81" t="s">
        <v>88</v>
      </c>
      <c r="N116" s="72">
        <f>Y106</f>
        <v>22</v>
      </c>
      <c r="O116" s="81" t="s">
        <v>89</v>
      </c>
      <c r="P116" s="71">
        <f>Y107</f>
        <v>11</v>
      </c>
      <c r="Q116" s="81" t="s">
        <v>90</v>
      </c>
      <c r="R116" s="71">
        <f>Y108</f>
        <v>13</v>
      </c>
      <c r="T116" s="2" t="s">
        <v>100</v>
      </c>
      <c r="U116" s="1">
        <f>IF(F104&lt;&gt;"使用しない",J107,0)</f>
        <v>0</v>
      </c>
      <c r="V116" s="1">
        <f>IF(N104&lt;&gt;"使用しない",R107,0)</f>
        <v>0</v>
      </c>
      <c r="W116" s="1">
        <f>IF(F108&lt;&gt;"使用しない",J111,0)</f>
        <v>0</v>
      </c>
      <c r="X116" s="1">
        <f>IF(N108&lt;&gt;"使用しない",R111,0)</f>
        <v>4</v>
      </c>
      <c r="Y116" s="1">
        <f>IF(AB104=0,"",MIN(MAX(SUM(U116:X116)*5+20,20),99))</f>
        <v>40</v>
      </c>
      <c r="AA116" s="2" t="s">
        <v>109</v>
      </c>
      <c r="AB116" s="2" t="str">
        <f>IF(AB104=0,"",INDEX(ボディマスタ!$G$5:$G$8,MATCH(AB112,ボディマスタ!$E$5:$E$8,0),))</f>
        <v>6×6</v>
      </c>
    </row>
    <row r="118" spans="2:47" x14ac:dyDescent="0.15">
      <c r="B118" s="35" t="s">
        <v>110</v>
      </c>
      <c r="C118" s="36"/>
      <c r="D118" s="36"/>
      <c r="E118" s="36"/>
      <c r="F118" s="36"/>
      <c r="G118" s="36"/>
      <c r="H118" s="36"/>
      <c r="I118" s="36"/>
      <c r="J118" s="36"/>
      <c r="K118" s="36"/>
      <c r="L118" s="36"/>
      <c r="M118" s="36"/>
      <c r="N118" s="36"/>
      <c r="O118" s="36"/>
      <c r="P118" s="36"/>
      <c r="Q118" s="36"/>
      <c r="R118" s="56"/>
      <c r="T118" s="2" t="s">
        <v>111</v>
      </c>
      <c r="U118" s="2" t="str">
        <f t="shared" ref="U118:AE118" si="0">INDEX($A$2:$A$28,COLUMN()-COLUMN($U118)+1,)</f>
        <v>短剣</v>
      </c>
      <c r="V118" s="2" t="str">
        <f t="shared" si="0"/>
        <v>片手剣</v>
      </c>
      <c r="W118" s="2" t="str">
        <f t="shared" si="0"/>
        <v>片手斧</v>
      </c>
      <c r="X118" s="2" t="str">
        <f t="shared" si="0"/>
        <v>両手剣</v>
      </c>
      <c r="Y118" s="2" t="str">
        <f t="shared" si="0"/>
        <v>両手斧</v>
      </c>
      <c r="Z118" s="2" t="str">
        <f t="shared" si="0"/>
        <v>ハンマー</v>
      </c>
      <c r="AA118" s="2" t="str">
        <f t="shared" si="0"/>
        <v>槍</v>
      </c>
      <c r="AB118" s="2" t="str">
        <f t="shared" si="0"/>
        <v>杖</v>
      </c>
      <c r="AC118" s="2" t="str">
        <f t="shared" si="0"/>
        <v>ナックル</v>
      </c>
      <c r="AD118" s="2" t="str">
        <f t="shared" si="0"/>
        <v>ヌンチャク</v>
      </c>
      <c r="AE118" s="2" t="str">
        <f t="shared" si="0"/>
        <v>弓矢</v>
      </c>
      <c r="AF118" s="2" t="str">
        <f t="shared" ref="AF118:AU118" si="1">INDEX($A$2:$A$28,COLUMN()-COLUMN($U118)+1,)</f>
        <v>盾</v>
      </c>
      <c r="AG118" s="2" t="str">
        <f t="shared" si="1"/>
        <v>兜</v>
      </c>
      <c r="AH118" s="2" t="str">
        <f t="shared" si="1"/>
        <v>帽子</v>
      </c>
      <c r="AI118" s="2" t="str">
        <f t="shared" si="1"/>
        <v>鎧</v>
      </c>
      <c r="AJ118" s="2" t="str">
        <f t="shared" si="1"/>
        <v>全身鎧</v>
      </c>
      <c r="AK118" s="2" t="str">
        <f t="shared" si="1"/>
        <v>ローブ</v>
      </c>
      <c r="AL118" s="2" t="str">
        <f t="shared" si="1"/>
        <v>小手</v>
      </c>
      <c r="AM118" s="2" t="str">
        <f t="shared" si="1"/>
        <v>ブーツ</v>
      </c>
      <c r="AN118" s="2" t="str">
        <f t="shared" si="1"/>
        <v>サンダル</v>
      </c>
      <c r="AO118" s="2" t="str">
        <f t="shared" si="1"/>
        <v>マント</v>
      </c>
      <c r="AP118" s="2" t="str">
        <f t="shared" si="1"/>
        <v>リング</v>
      </c>
      <c r="AQ118" s="2" t="str">
        <f t="shared" si="1"/>
        <v>ペンダント</v>
      </c>
      <c r="AR118" s="2" t="str">
        <f t="shared" si="1"/>
        <v>ハープ</v>
      </c>
      <c r="AS118" s="2" t="str">
        <f t="shared" si="1"/>
        <v>マリンバ</v>
      </c>
      <c r="AT118" s="2" t="str">
        <f t="shared" si="1"/>
        <v>フルート</v>
      </c>
      <c r="AU118" s="2" t="str">
        <f t="shared" si="1"/>
        <v>ドラム</v>
      </c>
    </row>
    <row r="119" spans="2:47" x14ac:dyDescent="0.15">
      <c r="B119" s="37"/>
      <c r="C119" s="35" t="s">
        <v>112</v>
      </c>
      <c r="D119" s="36"/>
      <c r="E119" s="36"/>
      <c r="F119" s="36"/>
      <c r="G119" s="36"/>
      <c r="H119" s="36"/>
      <c r="I119" s="36"/>
      <c r="J119" s="36"/>
      <c r="K119" s="44"/>
      <c r="L119" s="44"/>
      <c r="M119" s="44"/>
      <c r="N119" s="44"/>
      <c r="O119" s="44"/>
      <c r="P119" s="36"/>
      <c r="Q119" s="36"/>
      <c r="R119" s="56"/>
      <c r="T119" s="2" t="s">
        <v>110</v>
      </c>
      <c r="U119" s="2" t="str">
        <f>INDEX(ロジックテーブル!$D$6:$AD$32,MATCH($U122,ロジックテーブル!$C$6:$C$32,0),MATCH(U118,ロジックテーブル!$D$5:$AD$5,0))</f>
        <v>-</v>
      </c>
      <c r="V119" s="2" t="str">
        <f>INDEX(ロジックテーブル!$D$6:$AD$32,MATCH($U122,ロジックテーブル!$C$6:$C$32,0),MATCH(V118,ロジックテーブル!$D$5:$AD$5,0))</f>
        <v>-</v>
      </c>
      <c r="W119" s="2" t="str">
        <f>INDEX(ロジックテーブル!$D$6:$AD$32,MATCH($U122,ロジックテーブル!$C$6:$C$32,0),MATCH(W118,ロジックテーブル!$D$5:$AD$5,0))</f>
        <v>-</v>
      </c>
      <c r="X119" s="2" t="str">
        <f>INDEX(ロジックテーブル!$D$6:$AD$32,MATCH($U122,ロジックテーブル!$C$6:$C$32,0),MATCH(X118,ロジックテーブル!$D$5:$AD$5,0))</f>
        <v>-</v>
      </c>
      <c r="Y119" s="2" t="str">
        <f>INDEX(ロジックテーブル!$D$6:$AD$32,MATCH($U122,ロジックテーブル!$C$6:$C$32,0),MATCH(Y118,ロジックテーブル!$D$5:$AD$5,0))</f>
        <v>-</v>
      </c>
      <c r="Z119" s="2" t="str">
        <f>INDEX(ロジックテーブル!$D$6:$AD$32,MATCH($U122,ロジックテーブル!$C$6:$C$32,0),MATCH(Z118,ロジックテーブル!$D$5:$AD$5,0))</f>
        <v>-</v>
      </c>
      <c r="AA119" s="2" t="str">
        <f>INDEX(ロジックテーブル!$D$6:$AD$32,MATCH($U122,ロジックテーブル!$C$6:$C$32,0),MATCH(AA118,ロジックテーブル!$D$5:$AD$5,0))</f>
        <v>-</v>
      </c>
      <c r="AB119" s="2" t="str">
        <f>INDEX(ロジックテーブル!$D$6:$AD$32,MATCH($U122,ロジックテーブル!$C$6:$C$32,0),MATCH(AB118,ロジックテーブル!$D$5:$AD$5,0))</f>
        <v>-</v>
      </c>
      <c r="AC119" s="2" t="str">
        <f>INDEX(ロジックテーブル!$D$6:$AD$32,MATCH($U122,ロジックテーブル!$C$6:$C$32,0),MATCH(AC118,ロジックテーブル!$D$5:$AD$5,0))</f>
        <v>爆裂パンチ</v>
      </c>
      <c r="AD119" s="2" t="str">
        <f>INDEX(ロジックテーブル!$D$6:$AD$32,MATCH($U122,ロジックテーブル!$C$6:$C$32,0),MATCH(AD118,ロジックテーブル!$D$5:$AD$5,0))</f>
        <v>-</v>
      </c>
      <c r="AE119" s="2" t="str">
        <f>INDEX(ロジックテーブル!$D$6:$AD$32,MATCH($U122,ロジックテーブル!$C$6:$C$32,0),MATCH(AE118,ロジックテーブル!$D$5:$AD$5,0))</f>
        <v>-</v>
      </c>
      <c r="AF119" s="2" t="str">
        <f>INDEX(ロジックテーブル!$D$6:$AD$32,MATCH($U122,ロジックテーブル!$C$6:$C$32,0),MATCH(AF118,ロジックテーブル!$D$5:$AD$5,0))</f>
        <v>核自爆</v>
      </c>
      <c r="AG119" s="2" t="str">
        <f>INDEX(ロジックテーブル!$D$6:$AD$32,MATCH($U122,ロジックテーブル!$C$6:$C$32,0),MATCH(AG118,ロジックテーブル!$D$5:$AD$5,0))</f>
        <v>花火ボンバー</v>
      </c>
      <c r="AH119" s="2" t="str">
        <f>INDEX(ロジックテーブル!$D$6:$AD$32,MATCH($U122,ロジックテーブル!$C$6:$C$32,0),MATCH(AH118,ロジックテーブル!$D$5:$AD$5,0))</f>
        <v>花火ボンバー</v>
      </c>
      <c r="AI119" s="2" t="str">
        <f>INDEX(ロジックテーブル!$D$6:$AD$32,MATCH($U122,ロジックテーブル!$C$6:$C$32,0),MATCH(AI118,ロジックテーブル!$D$5:$AD$5,0))</f>
        <v>ボンバー</v>
      </c>
      <c r="AJ119" s="2" t="str">
        <f>INDEX(ロジックテーブル!$D$6:$AD$32,MATCH($U122,ロジックテーブル!$C$6:$C$32,0),MATCH(AJ118,ロジックテーブル!$D$5:$AD$5,0))</f>
        <v>ボンバー</v>
      </c>
      <c r="AK119" s="2" t="str">
        <f>INDEX(ロジックテーブル!$D$6:$AD$32,MATCH($U122,ロジックテーブル!$C$6:$C$32,0),MATCH(AK118,ロジックテーブル!$D$5:$AD$5,0))</f>
        <v>-</v>
      </c>
      <c r="AL119" s="2" t="str">
        <f>INDEX(ロジックテーブル!$D$6:$AD$32,MATCH($U122,ロジックテーブル!$C$6:$C$32,0),MATCH(AL118,ロジックテーブル!$D$5:$AD$5,0))</f>
        <v>核自爆</v>
      </c>
      <c r="AM119" s="2" t="str">
        <f>INDEX(ロジックテーブル!$D$6:$AD$32,MATCH($U122,ロジックテーブル!$C$6:$C$32,0),MATCH(AM118,ロジックテーブル!$D$5:$AD$5,0))</f>
        <v>ころがしボム</v>
      </c>
      <c r="AN119" s="2" t="str">
        <f>INDEX(ロジックテーブル!$D$6:$AD$32,MATCH($U122,ロジックテーブル!$C$6:$C$32,0),MATCH(AN118,ロジックテーブル!$D$5:$AD$5,0))</f>
        <v>ころがしボム</v>
      </c>
      <c r="AO119" s="2" t="str">
        <f>INDEX(ロジックテーブル!$D$6:$AD$32,MATCH($U122,ロジックテーブル!$C$6:$C$32,0),MATCH(AO118,ロジックテーブル!$D$5:$AD$5,0))</f>
        <v>-</v>
      </c>
      <c r="AP119" s="2" t="str">
        <f>INDEX(ロジックテーブル!$D$6:$AD$32,MATCH($U122,ロジックテーブル!$C$6:$C$32,0),MATCH(AP118,ロジックテーブル!$D$5:$AD$5,0))</f>
        <v>-</v>
      </c>
      <c r="AQ119" s="2" t="str">
        <f>INDEX(ロジックテーブル!$D$6:$AD$32,MATCH($U122,ロジックテーブル!$C$6:$C$32,0),MATCH(AQ118,ロジックテーブル!$D$5:$AD$5,0))</f>
        <v>-</v>
      </c>
      <c r="AR119" s="2" t="str">
        <f>INDEX(ロジックテーブル!$D$6:$AD$32,MATCH($U122,ロジックテーブル!$C$6:$C$32,0),MATCH(AR118,ロジックテーブル!$D$5:$AD$5,0))</f>
        <v>-</v>
      </c>
      <c r="AS119" s="2" t="str">
        <f>INDEX(ロジックテーブル!$D$6:$AD$32,MATCH($U122,ロジックテーブル!$C$6:$C$32,0),MATCH(AS118,ロジックテーブル!$D$5:$AD$5,0))</f>
        <v>波動砲</v>
      </c>
      <c r="AT119" s="2" t="str">
        <f>INDEX(ロジックテーブル!$D$6:$AD$32,MATCH($U122,ロジックテーブル!$C$6:$C$32,0),MATCH(AT118,ロジックテーブル!$D$5:$AD$5,0))</f>
        <v>拡散波動砲</v>
      </c>
      <c r="AU119" s="2" t="str">
        <f>INDEX(ロジックテーブル!$D$6:$AD$32,MATCH($U122,ロジックテーブル!$C$6:$C$32,0),MATCH(AU118,ロジックテーブル!$D$5:$AD$5,0))</f>
        <v>ばらまきボム</v>
      </c>
    </row>
    <row r="120" spans="2:47" x14ac:dyDescent="0.15">
      <c r="B120" s="37"/>
      <c r="C120" s="37"/>
      <c r="D120" s="38" t="s">
        <v>113</v>
      </c>
      <c r="E120" s="129" t="s">
        <v>114</v>
      </c>
      <c r="F120" s="129"/>
      <c r="G120" s="129"/>
      <c r="H120" s="38" t="s">
        <v>115</v>
      </c>
      <c r="I120" s="45"/>
      <c r="J120" s="129" t="s">
        <v>116</v>
      </c>
      <c r="K120" s="129"/>
      <c r="L120" s="129"/>
      <c r="M120" s="42"/>
      <c r="N120" s="42"/>
      <c r="O120" s="42"/>
      <c r="P120" s="42"/>
      <c r="Q120" s="42"/>
      <c r="R120" s="45"/>
      <c r="T120" s="2" t="s">
        <v>117</v>
      </c>
      <c r="U120" s="2" t="str">
        <f>U118&amp;"_"&amp;IF(U119="-","(無効)","(有効)")</f>
        <v>短剣_(無効)</v>
      </c>
      <c r="V120" s="2" t="str">
        <f t="shared" ref="V120:AE120" si="2">V118&amp;"_"&amp;IF(V119="-","(無効)","(有効)")</f>
        <v>片手剣_(無効)</v>
      </c>
      <c r="W120" s="2" t="str">
        <f t="shared" si="2"/>
        <v>片手斧_(無効)</v>
      </c>
      <c r="X120" s="2" t="str">
        <f t="shared" si="2"/>
        <v>両手剣_(無効)</v>
      </c>
      <c r="Y120" s="2" t="str">
        <f t="shared" si="2"/>
        <v>両手斧_(無効)</v>
      </c>
      <c r="Z120" s="2" t="str">
        <f t="shared" si="2"/>
        <v>ハンマー_(無効)</v>
      </c>
      <c r="AA120" s="2" t="str">
        <f t="shared" si="2"/>
        <v>槍_(無効)</v>
      </c>
      <c r="AB120" s="2" t="str">
        <f t="shared" si="2"/>
        <v>杖_(無効)</v>
      </c>
      <c r="AC120" s="2" t="str">
        <f t="shared" si="2"/>
        <v>ナックル_(有効)</v>
      </c>
      <c r="AD120" s="2" t="str">
        <f t="shared" si="2"/>
        <v>ヌンチャク_(無効)</v>
      </c>
      <c r="AE120" s="2" t="str">
        <f t="shared" si="2"/>
        <v>弓矢_(無効)</v>
      </c>
      <c r="AF120" s="2" t="str">
        <f t="shared" ref="AF120:AU120" si="3">AF118&amp;"_"&amp;IF(AF119="-","(無効)","(有効)")</f>
        <v>盾_(有効)</v>
      </c>
      <c r="AG120" s="2" t="str">
        <f t="shared" si="3"/>
        <v>兜_(有効)</v>
      </c>
      <c r="AH120" s="2" t="str">
        <f t="shared" si="3"/>
        <v>帽子_(有効)</v>
      </c>
      <c r="AI120" s="2" t="str">
        <f t="shared" si="3"/>
        <v>鎧_(有効)</v>
      </c>
      <c r="AJ120" s="2" t="str">
        <f t="shared" si="3"/>
        <v>全身鎧_(有効)</v>
      </c>
      <c r="AK120" s="2" t="str">
        <f t="shared" si="3"/>
        <v>ローブ_(無効)</v>
      </c>
      <c r="AL120" s="2" t="str">
        <f t="shared" si="3"/>
        <v>小手_(有効)</v>
      </c>
      <c r="AM120" s="2" t="str">
        <f t="shared" si="3"/>
        <v>ブーツ_(有効)</v>
      </c>
      <c r="AN120" s="2" t="str">
        <f t="shared" si="3"/>
        <v>サンダル_(有効)</v>
      </c>
      <c r="AO120" s="2" t="str">
        <f t="shared" si="3"/>
        <v>マント_(無効)</v>
      </c>
      <c r="AP120" s="2" t="str">
        <f t="shared" si="3"/>
        <v>リング_(無効)</v>
      </c>
      <c r="AQ120" s="2" t="str">
        <f t="shared" si="3"/>
        <v>ペンダント_(無効)</v>
      </c>
      <c r="AR120" s="2" t="str">
        <f t="shared" si="3"/>
        <v>ハープ_(無効)</v>
      </c>
      <c r="AS120" s="2" t="str">
        <f t="shared" si="3"/>
        <v>マリンバ_(有効)</v>
      </c>
      <c r="AT120" s="2" t="str">
        <f t="shared" si="3"/>
        <v>フルート_(有効)</v>
      </c>
      <c r="AU120" s="2" t="str">
        <f t="shared" si="3"/>
        <v>ドラム_(有効)</v>
      </c>
    </row>
    <row r="121" spans="2:47" x14ac:dyDescent="0.15">
      <c r="B121" s="37"/>
      <c r="C121" s="40"/>
      <c r="D121" s="130" t="s">
        <v>73</v>
      </c>
      <c r="E121" s="129"/>
      <c r="F121" s="129"/>
      <c r="G121" s="129"/>
      <c r="H121" s="38" t="str">
        <f>IF(ISERROR(MATCH(U122,$AF118:$AQ118,0)),"攻撃力","防御力合計")</f>
        <v>防御力合計</v>
      </c>
      <c r="I121" s="45"/>
      <c r="J121" s="46">
        <v>8</v>
      </c>
      <c r="K121" s="47" t="str">
        <f>IF(H121="防御力合計","叩防","")</f>
        <v>叩防</v>
      </c>
      <c r="L121" s="48">
        <v>5</v>
      </c>
      <c r="M121" s="47" t="str">
        <f>IF(H121="防御力合計","斬防","")</f>
        <v>斬防</v>
      </c>
      <c r="N121" s="48">
        <v>7</v>
      </c>
      <c r="O121" s="47" t="str">
        <f>IF(H121="防御力合計","突防","")</f>
        <v>突防</v>
      </c>
      <c r="P121" s="48">
        <v>7</v>
      </c>
      <c r="Q121" s="47" t="str">
        <f>IF(H121="防御力合計","魔防","")</f>
        <v>魔防</v>
      </c>
      <c r="R121" s="46">
        <v>0</v>
      </c>
      <c r="U121" s="2" t="s">
        <v>113</v>
      </c>
      <c r="W121" s="2" t="s">
        <v>115</v>
      </c>
      <c r="Z121" s="2" t="s">
        <v>118</v>
      </c>
      <c r="AA121" s="2" t="s">
        <v>119</v>
      </c>
      <c r="AC121" s="2" t="s">
        <v>120</v>
      </c>
      <c r="AD121" s="2" t="s">
        <v>121</v>
      </c>
    </row>
    <row r="122" spans="2:47" x14ac:dyDescent="0.15">
      <c r="B122" s="37"/>
      <c r="C122" s="35" t="s">
        <v>122</v>
      </c>
      <c r="D122" s="36"/>
      <c r="E122" s="36"/>
      <c r="F122" s="36"/>
      <c r="G122" s="36"/>
      <c r="H122" s="36"/>
      <c r="I122" s="36"/>
      <c r="J122" s="36"/>
      <c r="K122" s="36"/>
      <c r="L122" s="36"/>
      <c r="M122" s="44"/>
      <c r="N122" s="44"/>
      <c r="O122" s="44"/>
      <c r="P122" s="36"/>
      <c r="Q122" s="36"/>
      <c r="R122" s="56"/>
      <c r="T122" s="2" t="s">
        <v>123</v>
      </c>
      <c r="U122" s="2" t="str">
        <f>E120</f>
        <v>全身鎧</v>
      </c>
      <c r="W122" s="2" t="str">
        <f>J120</f>
        <v>アストリア銀</v>
      </c>
      <c r="Y122" s="2" t="str">
        <f>H121</f>
        <v>防御力合計</v>
      </c>
      <c r="Z122" s="1">
        <f>IF(ISBLANK(J121),"-",J121)</f>
        <v>8</v>
      </c>
      <c r="AA122" s="1">
        <f>IF(OR(ISBLANK(L121),ISBLANK(N121),ISBLANK(P121),ISBLANK(R121)),"-",SUM(K121:R121))</f>
        <v>19</v>
      </c>
      <c r="AB122" s="2" t="str">
        <f>D121</f>
        <v>防御力個別入力で計算</v>
      </c>
      <c r="AC122" s="1">
        <f>IF(OR(Y122="攻撃力",AB122="防御力合計で計算"),Z122,AA122)</f>
        <v>19</v>
      </c>
      <c r="AD122" s="1">
        <f>INDEX(主原料マスタ!$D$5:$D$59,MATCH(W122,主原料マスタ!$B$5:$B$59,0))</f>
        <v>4</v>
      </c>
    </row>
    <row r="123" spans="2:47" x14ac:dyDescent="0.15">
      <c r="B123" s="37"/>
      <c r="C123" s="37"/>
      <c r="D123" s="41" t="s">
        <v>113</v>
      </c>
      <c r="E123" s="129" t="s">
        <v>124</v>
      </c>
      <c r="F123" s="129"/>
      <c r="G123" s="129"/>
      <c r="H123" s="38" t="s">
        <v>115</v>
      </c>
      <c r="I123" s="45"/>
      <c r="J123" s="129" t="s">
        <v>125</v>
      </c>
      <c r="K123" s="129"/>
      <c r="L123" s="129"/>
      <c r="M123" s="42"/>
      <c r="N123" s="42"/>
      <c r="O123" s="42"/>
      <c r="P123" s="42"/>
      <c r="Q123" s="42"/>
      <c r="R123" s="45"/>
      <c r="T123" s="2" t="s">
        <v>126</v>
      </c>
      <c r="U123" s="2" t="str">
        <f>E123</f>
        <v>盾_(有効)</v>
      </c>
      <c r="V123" s="2" t="str">
        <f>LEFT(U123,FIND("_",U123)-1)</f>
        <v>盾</v>
      </c>
      <c r="W123" s="2" t="str">
        <f>J123</f>
        <v>ワニ革</v>
      </c>
      <c r="Y123" s="2" t="str">
        <f>H124</f>
        <v>防御力合計</v>
      </c>
      <c r="Z123" s="1">
        <f>IF(ISBLANK(J124),"-",J124)</f>
        <v>11</v>
      </c>
      <c r="AA123" s="1">
        <f>IF(OR(ISBLANK(L124),ISBLANK(N124),ISBLANK(P124),ISBLANK(R124)),"-",SUM(K124:R124))</f>
        <v>0</v>
      </c>
      <c r="AB123" s="2" t="str">
        <f>D124</f>
        <v>防御力合計で計算</v>
      </c>
      <c r="AC123" s="1">
        <f>IF(OR(Y123="攻撃力",AB123="防御力合計で計算"),Z123,AA123)</f>
        <v>11</v>
      </c>
      <c r="AD123" s="1">
        <f>INDEX(主原料マスタ!$D$5:$D$59,MATCH(W123,主原料マスタ!$B$5:$B$59,0))</f>
        <v>7</v>
      </c>
    </row>
    <row r="124" spans="2:47" x14ac:dyDescent="0.15">
      <c r="B124" s="37"/>
      <c r="C124" s="40"/>
      <c r="D124" s="130" t="s">
        <v>72</v>
      </c>
      <c r="E124" s="129"/>
      <c r="F124" s="129"/>
      <c r="G124" s="129"/>
      <c r="H124" s="38" t="str">
        <f>IF(ISERROR(MATCH(V123,$AF118:$AQ118,0)),"攻撃力","防御力合計")</f>
        <v>防御力合計</v>
      </c>
      <c r="I124" s="45"/>
      <c r="J124" s="46">
        <v>11</v>
      </c>
      <c r="K124" s="47" t="str">
        <f>IF(H124="防御力合計","叩防","")</f>
        <v>叩防</v>
      </c>
      <c r="L124" s="48">
        <v>0</v>
      </c>
      <c r="M124" s="47" t="str">
        <f>IF(H124="防御力合計","斬防","")</f>
        <v>斬防</v>
      </c>
      <c r="N124" s="48">
        <v>0</v>
      </c>
      <c r="O124" s="47" t="str">
        <f>IF(H124="防御力合計","突防","")</f>
        <v>突防</v>
      </c>
      <c r="P124" s="48">
        <v>0</v>
      </c>
      <c r="Q124" s="47" t="str">
        <f>IF(H124="防御力合計","魔防","")</f>
        <v>魔防</v>
      </c>
      <c r="R124" s="46">
        <v>0</v>
      </c>
      <c r="W124" s="2" t="s">
        <v>127</v>
      </c>
      <c r="Z124" s="2" t="s">
        <v>128</v>
      </c>
      <c r="AA124" s="2" t="s">
        <v>102</v>
      </c>
      <c r="AB124" s="2" t="s">
        <v>129</v>
      </c>
      <c r="AD124" s="1">
        <f>MOD(AD122+AD123,11)</f>
        <v>0</v>
      </c>
      <c r="AE124" s="61" t="str">
        <f>IF(U125="-","",INDEX(ロジック形状!$C$5:$C$26,MATCH(AD124,ロジック形状!$B$5:$B$26,0),))</f>
        <v>□□□□</v>
      </c>
    </row>
    <row r="125" spans="2:47" x14ac:dyDescent="0.15">
      <c r="B125" s="37"/>
      <c r="C125" s="35" t="s">
        <v>130</v>
      </c>
      <c r="D125" s="36"/>
      <c r="E125" s="36"/>
      <c r="F125" s="36"/>
      <c r="G125" s="36"/>
      <c r="H125" s="36"/>
      <c r="I125" s="36"/>
      <c r="J125" s="36"/>
      <c r="K125" s="36"/>
      <c r="L125" s="36"/>
      <c r="M125" s="36"/>
      <c r="N125" s="49" t="s">
        <v>131</v>
      </c>
      <c r="O125" s="50"/>
      <c r="P125" s="51"/>
      <c r="Q125" s="57" t="str">
        <f>AE124</f>
        <v>□□□□</v>
      </c>
      <c r="R125" s="58"/>
      <c r="T125" s="2" t="s">
        <v>110</v>
      </c>
      <c r="U125" s="2" t="str">
        <f>INDEX(U119:AU119,,MATCH(V123,U118:AU118,0))</f>
        <v>核自爆</v>
      </c>
      <c r="W125" s="2" t="str">
        <f>IF(U125="-","-",INDEX(ロジックマスタ!$D$5:$D$56,MATCH(U125,ロジックマスタ!$B$5:$B$56,0),))</f>
        <v>残HP</v>
      </c>
      <c r="Y125" s="2" t="s">
        <v>132</v>
      </c>
      <c r="Z125" s="1">
        <f>IF(OR(AC122="-",AC123="-"),0,(AC122+AC123)/17)</f>
        <v>1.7647058823529411</v>
      </c>
      <c r="AA125" s="1">
        <f>ROUNDDOWN(MIN(MAX(Z125,0),9),0)</f>
        <v>1</v>
      </c>
      <c r="AB125" s="2" t="str">
        <f>IF(OR(AA125=0,W125="-"),"","＋"&amp;AA125)</f>
        <v>＋1</v>
      </c>
      <c r="AE125" s="61" t="str">
        <f>IF(U125="-","",INDEX(ロジック形状!$C$5:$C$26,MATCH(AD124,ロジック形状!$B$5:$B$26,0)+1,))</f>
        <v>■□□□</v>
      </c>
    </row>
    <row r="126" spans="2:47" x14ac:dyDescent="0.15">
      <c r="B126" s="40"/>
      <c r="C126" s="40"/>
      <c r="D126" s="38" t="s">
        <v>133</v>
      </c>
      <c r="E126" s="42"/>
      <c r="F126" s="42"/>
      <c r="G126" s="131" t="str">
        <f>U125&amp;AB125</f>
        <v>核自爆＋1</v>
      </c>
      <c r="H126" s="131"/>
      <c r="I126" s="131"/>
      <c r="J126" s="38" t="s">
        <v>127</v>
      </c>
      <c r="K126" s="42"/>
      <c r="L126" s="43" t="str">
        <f>W125</f>
        <v>残HP</v>
      </c>
      <c r="M126" s="52"/>
      <c r="N126" s="53"/>
      <c r="O126" s="54"/>
      <c r="P126" s="55"/>
      <c r="Q126" s="59" t="str">
        <f>AE125</f>
        <v>■□□□</v>
      </c>
      <c r="R126" s="60"/>
    </row>
    <row r="128" spans="2:47" x14ac:dyDescent="0.15">
      <c r="B128" s="35" t="s">
        <v>110</v>
      </c>
      <c r="C128" s="36"/>
      <c r="D128" s="36"/>
      <c r="E128" s="36"/>
      <c r="F128" s="36"/>
      <c r="G128" s="36"/>
      <c r="H128" s="36"/>
      <c r="I128" s="36"/>
      <c r="J128" s="36"/>
      <c r="K128" s="36"/>
      <c r="L128" s="36"/>
      <c r="M128" s="36"/>
      <c r="N128" s="36"/>
      <c r="O128" s="36"/>
      <c r="P128" s="36"/>
      <c r="Q128" s="36"/>
      <c r="R128" s="56"/>
      <c r="T128" s="2" t="s">
        <v>111</v>
      </c>
      <c r="U128" s="2" t="str">
        <f t="shared" ref="U128:AU128" si="4">INDEX($A$2:$A$28,COLUMN()-COLUMN($U128)+1,)</f>
        <v>短剣</v>
      </c>
      <c r="V128" s="2" t="str">
        <f t="shared" si="4"/>
        <v>片手剣</v>
      </c>
      <c r="W128" s="2" t="str">
        <f t="shared" si="4"/>
        <v>片手斧</v>
      </c>
      <c r="X128" s="2" t="str">
        <f t="shared" si="4"/>
        <v>両手剣</v>
      </c>
      <c r="Y128" s="2" t="str">
        <f t="shared" si="4"/>
        <v>両手斧</v>
      </c>
      <c r="Z128" s="2" t="str">
        <f t="shared" si="4"/>
        <v>ハンマー</v>
      </c>
      <c r="AA128" s="2" t="str">
        <f t="shared" si="4"/>
        <v>槍</v>
      </c>
      <c r="AB128" s="2" t="str">
        <f t="shared" si="4"/>
        <v>杖</v>
      </c>
      <c r="AC128" s="2" t="str">
        <f t="shared" si="4"/>
        <v>ナックル</v>
      </c>
      <c r="AD128" s="2" t="str">
        <f t="shared" si="4"/>
        <v>ヌンチャク</v>
      </c>
      <c r="AE128" s="2" t="str">
        <f t="shared" si="4"/>
        <v>弓矢</v>
      </c>
      <c r="AF128" s="2" t="str">
        <f t="shared" si="4"/>
        <v>盾</v>
      </c>
      <c r="AG128" s="2" t="str">
        <f t="shared" si="4"/>
        <v>兜</v>
      </c>
      <c r="AH128" s="2" t="str">
        <f t="shared" si="4"/>
        <v>帽子</v>
      </c>
      <c r="AI128" s="2" t="str">
        <f t="shared" si="4"/>
        <v>鎧</v>
      </c>
      <c r="AJ128" s="2" t="str">
        <f t="shared" si="4"/>
        <v>全身鎧</v>
      </c>
      <c r="AK128" s="2" t="str">
        <f t="shared" si="4"/>
        <v>ローブ</v>
      </c>
      <c r="AL128" s="2" t="str">
        <f t="shared" si="4"/>
        <v>小手</v>
      </c>
      <c r="AM128" s="2" t="str">
        <f t="shared" si="4"/>
        <v>ブーツ</v>
      </c>
      <c r="AN128" s="2" t="str">
        <f t="shared" si="4"/>
        <v>サンダル</v>
      </c>
      <c r="AO128" s="2" t="str">
        <f t="shared" si="4"/>
        <v>マント</v>
      </c>
      <c r="AP128" s="2" t="str">
        <f t="shared" si="4"/>
        <v>リング</v>
      </c>
      <c r="AQ128" s="2" t="str">
        <f t="shared" si="4"/>
        <v>ペンダント</v>
      </c>
      <c r="AR128" s="2" t="str">
        <f t="shared" si="4"/>
        <v>ハープ</v>
      </c>
      <c r="AS128" s="2" t="str">
        <f t="shared" si="4"/>
        <v>マリンバ</v>
      </c>
      <c r="AT128" s="2" t="str">
        <f t="shared" si="4"/>
        <v>フルート</v>
      </c>
      <c r="AU128" s="2" t="str">
        <f t="shared" si="4"/>
        <v>ドラム</v>
      </c>
    </row>
    <row r="129" spans="2:47" x14ac:dyDescent="0.15">
      <c r="B129" s="37"/>
      <c r="C129" s="35" t="s">
        <v>112</v>
      </c>
      <c r="D129" s="36"/>
      <c r="E129" s="36"/>
      <c r="F129" s="36"/>
      <c r="G129" s="36"/>
      <c r="H129" s="36"/>
      <c r="I129" s="36"/>
      <c r="J129" s="36"/>
      <c r="K129" s="44"/>
      <c r="L129" s="44"/>
      <c r="M129" s="44"/>
      <c r="N129" s="44"/>
      <c r="O129" s="44"/>
      <c r="P129" s="36"/>
      <c r="Q129" s="36"/>
      <c r="R129" s="56"/>
      <c r="T129" s="2" t="s">
        <v>110</v>
      </c>
      <c r="U129" s="2" t="str">
        <f>INDEX(ロジックテーブル!$D$6:$AD$32,MATCH($U132,ロジックテーブル!$C$6:$C$32,0),MATCH(U128,ロジックテーブル!$D$5:$AD$5,0))</f>
        <v>-</v>
      </c>
      <c r="V129" s="2" t="str">
        <f>INDEX(ロジックテーブル!$D$6:$AD$32,MATCH($U132,ロジックテーブル!$C$6:$C$32,0),MATCH(V128,ロジックテーブル!$D$5:$AD$5,0))</f>
        <v>-</v>
      </c>
      <c r="W129" s="2" t="str">
        <f>INDEX(ロジックテーブル!$D$6:$AD$32,MATCH($U132,ロジックテーブル!$C$6:$C$32,0),MATCH(W128,ロジックテーブル!$D$5:$AD$5,0))</f>
        <v>-</v>
      </c>
      <c r="X129" s="2" t="str">
        <f>INDEX(ロジックテーブル!$D$6:$AD$32,MATCH($U132,ロジックテーブル!$C$6:$C$32,0),MATCH(X128,ロジックテーブル!$D$5:$AD$5,0))</f>
        <v>-</v>
      </c>
      <c r="Y129" s="2" t="str">
        <f>INDEX(ロジックテーブル!$D$6:$AD$32,MATCH($U132,ロジックテーブル!$C$6:$C$32,0),MATCH(Y128,ロジックテーブル!$D$5:$AD$5,0))</f>
        <v>-</v>
      </c>
      <c r="Z129" s="2" t="str">
        <f>INDEX(ロジックテーブル!$D$6:$AD$32,MATCH($U132,ロジックテーブル!$C$6:$C$32,0),MATCH(Z128,ロジックテーブル!$D$5:$AD$5,0))</f>
        <v>ピコピコハンマー</v>
      </c>
      <c r="AA129" s="2" t="str">
        <f>INDEX(ロジックテーブル!$D$6:$AD$32,MATCH($U132,ロジックテーブル!$C$6:$C$32,0),MATCH(AA128,ロジックテーブル!$D$5:$AD$5,0))</f>
        <v>-</v>
      </c>
      <c r="AB129" s="2" t="str">
        <f>INDEX(ロジックテーブル!$D$6:$AD$32,MATCH($U132,ロジックテーブル!$C$6:$C$32,0),MATCH(AB128,ロジックテーブル!$D$5:$AD$5,0))</f>
        <v>-</v>
      </c>
      <c r="AC129" s="2" t="str">
        <f>INDEX(ロジックテーブル!$D$6:$AD$32,MATCH($U132,ロジックテーブル!$C$6:$C$32,0),MATCH(AC128,ロジックテーブル!$D$5:$AD$5,0))</f>
        <v>トゲ鉄球アッパー</v>
      </c>
      <c r="AD129" s="2" t="str">
        <f>INDEX(ロジックテーブル!$D$6:$AD$32,MATCH($U132,ロジックテーブル!$C$6:$C$32,0),MATCH(AD128,ロジックテーブル!$D$5:$AD$5,0))</f>
        <v>ピコピコハンマー</v>
      </c>
      <c r="AE129" s="2" t="str">
        <f>INDEX(ロジックテーブル!$D$6:$AD$32,MATCH($U132,ロジックテーブル!$C$6:$C$32,0),MATCH(AE128,ロジックテーブル!$D$5:$AD$5,0))</f>
        <v>-</v>
      </c>
      <c r="AF129" s="2" t="str">
        <f>INDEX(ロジックテーブル!$D$6:$AD$32,MATCH($U132,ロジックテーブル!$C$6:$C$32,0),MATCH(AF128,ロジックテーブル!$D$5:$AD$5,0))</f>
        <v>-</v>
      </c>
      <c r="AG129" s="2" t="str">
        <f>INDEX(ロジックテーブル!$D$6:$AD$32,MATCH($U132,ロジックテーブル!$C$6:$C$32,0),MATCH(AG128,ロジックテーブル!$D$5:$AD$5,0))</f>
        <v>トゲ鉄球雨あられ</v>
      </c>
      <c r="AH129" s="2" t="str">
        <f>INDEX(ロジックテーブル!$D$6:$AD$32,MATCH($U132,ロジックテーブル!$C$6:$C$32,0),MATCH(AH128,ロジックテーブル!$D$5:$AD$5,0))</f>
        <v>トゲ鉄球雨あられ</v>
      </c>
      <c r="AI129" s="2" t="str">
        <f>INDEX(ロジックテーブル!$D$6:$AD$32,MATCH($U132,ロジックテーブル!$C$6:$C$32,0),MATCH(AI128,ロジックテーブル!$D$5:$AD$5,0))</f>
        <v>-</v>
      </c>
      <c r="AJ129" s="2" t="str">
        <f>INDEX(ロジックテーブル!$D$6:$AD$32,MATCH($U132,ロジックテーブル!$C$6:$C$32,0),MATCH(AJ128,ロジックテーブル!$D$5:$AD$5,0))</f>
        <v>-</v>
      </c>
      <c r="AK129" s="2" t="str">
        <f>INDEX(ロジックテーブル!$D$6:$AD$32,MATCH($U132,ロジックテーブル!$C$6:$C$32,0),MATCH(AK128,ロジックテーブル!$D$5:$AD$5,0))</f>
        <v>大車輪トゲ鉄球</v>
      </c>
      <c r="AL129" s="2" t="str">
        <f>INDEX(ロジックテーブル!$D$6:$AD$32,MATCH($U132,ロジックテーブル!$C$6:$C$32,0),MATCH(AL128,ロジックテーブル!$D$5:$AD$5,0))</f>
        <v>-</v>
      </c>
      <c r="AM129" s="2" t="str">
        <f>INDEX(ロジックテーブル!$D$6:$AD$32,MATCH($U132,ロジックテーブル!$C$6:$C$32,0),MATCH(AM128,ロジックテーブル!$D$5:$AD$5,0))</f>
        <v>-</v>
      </c>
      <c r="AN129" s="2" t="str">
        <f>INDEX(ロジックテーブル!$D$6:$AD$32,MATCH($U132,ロジックテーブル!$C$6:$C$32,0),MATCH(AN128,ロジックテーブル!$D$5:$AD$5,0))</f>
        <v>-</v>
      </c>
      <c r="AO129" s="2" t="str">
        <f>INDEX(ロジックテーブル!$D$6:$AD$32,MATCH($U132,ロジックテーブル!$C$6:$C$32,0),MATCH(AO128,ロジックテーブル!$D$5:$AD$5,0))</f>
        <v>大車輪トゲ鉄球</v>
      </c>
      <c r="AP129" s="2" t="str">
        <f>INDEX(ロジックテーブル!$D$6:$AD$32,MATCH($U132,ロジックテーブル!$C$6:$C$32,0),MATCH(AP128,ロジックテーブル!$D$5:$AD$5,0))</f>
        <v>まんまるドロップ</v>
      </c>
      <c r="AQ129" s="2" t="str">
        <f>INDEX(ロジックテーブル!$D$6:$AD$32,MATCH($U132,ロジックテーブル!$C$6:$C$32,0),MATCH(AQ128,ロジックテーブル!$D$5:$AD$5,0))</f>
        <v>まんまるドロップ</v>
      </c>
      <c r="AR129" s="2" t="str">
        <f>INDEX(ロジックテーブル!$D$6:$AD$32,MATCH($U132,ロジックテーブル!$C$6:$C$32,0),MATCH(AR128,ロジックテーブル!$D$5:$AD$5,0))</f>
        <v>-</v>
      </c>
      <c r="AS129" s="2" t="str">
        <f>INDEX(ロジックテーブル!$D$6:$AD$32,MATCH($U132,ロジックテーブル!$C$6:$C$32,0),MATCH(AS128,ロジックテーブル!$D$5:$AD$5,0))</f>
        <v>-</v>
      </c>
      <c r="AT129" s="2" t="str">
        <f>INDEX(ロジックテーブル!$D$6:$AD$32,MATCH($U132,ロジックテーブル!$C$6:$C$32,0),MATCH(AT128,ロジックテーブル!$D$5:$AD$5,0))</f>
        <v>-</v>
      </c>
      <c r="AU129" s="2" t="str">
        <f>INDEX(ロジックテーブル!$D$6:$AD$32,MATCH($U132,ロジックテーブル!$C$6:$C$32,0),MATCH(AU128,ロジックテーブル!$D$5:$AD$5,0))</f>
        <v>-</v>
      </c>
    </row>
    <row r="130" spans="2:47" x14ac:dyDescent="0.15">
      <c r="B130" s="37"/>
      <c r="C130" s="37"/>
      <c r="D130" s="38" t="s">
        <v>113</v>
      </c>
      <c r="E130" s="129" t="s">
        <v>79</v>
      </c>
      <c r="F130" s="129"/>
      <c r="G130" s="129"/>
      <c r="H130" s="38" t="s">
        <v>115</v>
      </c>
      <c r="I130" s="45"/>
      <c r="J130" s="129" t="s">
        <v>116</v>
      </c>
      <c r="K130" s="129"/>
      <c r="L130" s="129"/>
      <c r="M130" s="42"/>
      <c r="N130" s="42"/>
      <c r="O130" s="42"/>
      <c r="P130" s="42"/>
      <c r="Q130" s="42"/>
      <c r="R130" s="45"/>
      <c r="T130" s="2" t="s">
        <v>117</v>
      </c>
      <c r="U130" s="2" t="str">
        <f>U128&amp;"_"&amp;IF(U129="-","(無効)","(有効)")</f>
        <v>短剣_(無効)</v>
      </c>
      <c r="V130" s="2" t="str">
        <f t="shared" ref="V130:AU130" si="5">V128&amp;"_"&amp;IF(V129="-","(無効)","(有効)")</f>
        <v>片手剣_(無効)</v>
      </c>
      <c r="W130" s="2" t="str">
        <f t="shared" si="5"/>
        <v>片手斧_(無効)</v>
      </c>
      <c r="X130" s="2" t="str">
        <f t="shared" si="5"/>
        <v>両手剣_(無効)</v>
      </c>
      <c r="Y130" s="2" t="str">
        <f t="shared" si="5"/>
        <v>両手斧_(無効)</v>
      </c>
      <c r="Z130" s="2" t="str">
        <f t="shared" si="5"/>
        <v>ハンマー_(有効)</v>
      </c>
      <c r="AA130" s="2" t="str">
        <f t="shared" si="5"/>
        <v>槍_(無効)</v>
      </c>
      <c r="AB130" s="2" t="str">
        <f t="shared" si="5"/>
        <v>杖_(無効)</v>
      </c>
      <c r="AC130" s="2" t="str">
        <f t="shared" si="5"/>
        <v>ナックル_(有効)</v>
      </c>
      <c r="AD130" s="2" t="str">
        <f t="shared" si="5"/>
        <v>ヌンチャク_(有効)</v>
      </c>
      <c r="AE130" s="2" t="str">
        <f t="shared" si="5"/>
        <v>弓矢_(無効)</v>
      </c>
      <c r="AF130" s="2" t="str">
        <f t="shared" si="5"/>
        <v>盾_(無効)</v>
      </c>
      <c r="AG130" s="2" t="str">
        <f t="shared" si="5"/>
        <v>兜_(有効)</v>
      </c>
      <c r="AH130" s="2" t="str">
        <f t="shared" si="5"/>
        <v>帽子_(有効)</v>
      </c>
      <c r="AI130" s="2" t="str">
        <f t="shared" si="5"/>
        <v>鎧_(無効)</v>
      </c>
      <c r="AJ130" s="2" t="str">
        <f t="shared" si="5"/>
        <v>全身鎧_(無効)</v>
      </c>
      <c r="AK130" s="2" t="str">
        <f t="shared" si="5"/>
        <v>ローブ_(有効)</v>
      </c>
      <c r="AL130" s="2" t="str">
        <f t="shared" si="5"/>
        <v>小手_(無効)</v>
      </c>
      <c r="AM130" s="2" t="str">
        <f t="shared" si="5"/>
        <v>ブーツ_(無効)</v>
      </c>
      <c r="AN130" s="2" t="str">
        <f t="shared" si="5"/>
        <v>サンダル_(無効)</v>
      </c>
      <c r="AO130" s="2" t="str">
        <f t="shared" si="5"/>
        <v>マント_(有効)</v>
      </c>
      <c r="AP130" s="2" t="str">
        <f t="shared" si="5"/>
        <v>リング_(有効)</v>
      </c>
      <c r="AQ130" s="2" t="str">
        <f t="shared" si="5"/>
        <v>ペンダント_(有効)</v>
      </c>
      <c r="AR130" s="2" t="str">
        <f t="shared" si="5"/>
        <v>ハープ_(無効)</v>
      </c>
      <c r="AS130" s="2" t="str">
        <f t="shared" si="5"/>
        <v>マリンバ_(無効)</v>
      </c>
      <c r="AT130" s="2" t="str">
        <f t="shared" si="5"/>
        <v>フルート_(無効)</v>
      </c>
      <c r="AU130" s="2" t="str">
        <f t="shared" si="5"/>
        <v>ドラム_(無効)</v>
      </c>
    </row>
    <row r="131" spans="2:47" x14ac:dyDescent="0.15">
      <c r="B131" s="37"/>
      <c r="C131" s="40"/>
      <c r="D131" s="130" t="s">
        <v>73</v>
      </c>
      <c r="E131" s="129"/>
      <c r="F131" s="129"/>
      <c r="G131" s="129"/>
      <c r="H131" s="38" t="str">
        <f>IF(ISERROR(MATCH(U132,$AF128:$AQ128,0)),"攻撃力","防御力合計")</f>
        <v>攻撃力</v>
      </c>
      <c r="I131" s="45"/>
      <c r="J131" s="46">
        <v>37</v>
      </c>
      <c r="K131" s="47" t="str">
        <f>IF(H131="防御力合計","叩防","")</f>
        <v/>
      </c>
      <c r="L131" s="48"/>
      <c r="M131" s="47" t="str">
        <f>IF(H131="防御力合計","斬防","")</f>
        <v/>
      </c>
      <c r="N131" s="48"/>
      <c r="O131" s="47" t="str">
        <f>IF(H131="防御力合計","突防","")</f>
        <v/>
      </c>
      <c r="P131" s="48"/>
      <c r="Q131" s="47" t="str">
        <f>IF(H131="防御力合計","魔防","")</f>
        <v/>
      </c>
      <c r="R131" s="46"/>
      <c r="U131" s="2" t="s">
        <v>113</v>
      </c>
      <c r="W131" s="2" t="s">
        <v>115</v>
      </c>
      <c r="Z131" s="2" t="s">
        <v>118</v>
      </c>
      <c r="AA131" s="2" t="s">
        <v>119</v>
      </c>
      <c r="AC131" s="2" t="s">
        <v>120</v>
      </c>
      <c r="AD131" s="2" t="s">
        <v>121</v>
      </c>
    </row>
    <row r="132" spans="2:47" x14ac:dyDescent="0.15">
      <c r="B132" s="37"/>
      <c r="C132" s="35" t="s">
        <v>122</v>
      </c>
      <c r="D132" s="36"/>
      <c r="E132" s="36"/>
      <c r="F132" s="36"/>
      <c r="G132" s="36"/>
      <c r="H132" s="36"/>
      <c r="I132" s="36"/>
      <c r="J132" s="36"/>
      <c r="K132" s="36"/>
      <c r="L132" s="36"/>
      <c r="M132" s="44"/>
      <c r="N132" s="44"/>
      <c r="O132" s="44"/>
      <c r="P132" s="36"/>
      <c r="Q132" s="36"/>
      <c r="R132" s="56"/>
      <c r="T132" s="2" t="s">
        <v>123</v>
      </c>
      <c r="U132" s="2" t="str">
        <f>E130</f>
        <v>ハンマー</v>
      </c>
      <c r="W132" s="2" t="str">
        <f>J130</f>
        <v>アストリア銀</v>
      </c>
      <c r="Y132" s="2" t="str">
        <f>H131</f>
        <v>攻撃力</v>
      </c>
      <c r="Z132" s="1">
        <f>IF(ISBLANK(J131),"-",J131)</f>
        <v>37</v>
      </c>
      <c r="AA132" s="2" t="str">
        <f>IF(OR(ISBLANK(L131),ISBLANK(N131),ISBLANK(P131),ISBLANK(R131)),"-",SUM(K131:R131))</f>
        <v>-</v>
      </c>
      <c r="AB132" s="2" t="str">
        <f>D131</f>
        <v>防御力個別入力で計算</v>
      </c>
      <c r="AC132" s="1">
        <f>IF(OR(Y132="攻撃力",AB132="防御力合計で計算"),Z132,AA132)</f>
        <v>37</v>
      </c>
      <c r="AD132" s="1">
        <f>INDEX(主原料マスタ!$D$5:$D$59,MATCH(W132,主原料マスタ!$B$5:$B$59,0))</f>
        <v>4</v>
      </c>
    </row>
    <row r="133" spans="2:47" x14ac:dyDescent="0.15">
      <c r="B133" s="37"/>
      <c r="C133" s="37"/>
      <c r="D133" s="41" t="s">
        <v>113</v>
      </c>
      <c r="E133" s="129" t="s">
        <v>134</v>
      </c>
      <c r="F133" s="129"/>
      <c r="G133" s="129"/>
      <c r="H133" s="38" t="s">
        <v>115</v>
      </c>
      <c r="I133" s="45"/>
      <c r="J133" s="129" t="s">
        <v>125</v>
      </c>
      <c r="K133" s="129"/>
      <c r="L133" s="129"/>
      <c r="M133" s="42"/>
      <c r="N133" s="42"/>
      <c r="O133" s="42"/>
      <c r="P133" s="42"/>
      <c r="Q133" s="42"/>
      <c r="R133" s="45"/>
      <c r="T133" s="2" t="s">
        <v>126</v>
      </c>
      <c r="U133" s="2" t="str">
        <f>E133</f>
        <v>ペンダント_(有効)</v>
      </c>
      <c r="V133" s="2" t="str">
        <f>LEFT(U133,FIND("_",U133)-1)</f>
        <v>ペンダント</v>
      </c>
      <c r="W133" s="2" t="str">
        <f>J133</f>
        <v>ワニ革</v>
      </c>
      <c r="Y133" s="2" t="str">
        <f>H134</f>
        <v>防御力合計</v>
      </c>
      <c r="Z133" s="1">
        <f>IF(ISBLANK(J134),"-",J134)</f>
        <v>11</v>
      </c>
      <c r="AA133" s="1">
        <f>IF(OR(ISBLANK(L134),ISBLANK(N134),ISBLANK(P134),ISBLANK(R134)),"-",SUM(K134:R134))</f>
        <v>0</v>
      </c>
      <c r="AB133" s="2" t="str">
        <f>D134</f>
        <v>防御力合計で計算</v>
      </c>
      <c r="AC133" s="1">
        <f>IF(OR(Y133="攻撃力",AB133="防御力合計で計算"),Z133,AA133)</f>
        <v>11</v>
      </c>
      <c r="AD133" s="1">
        <f>INDEX(主原料マスタ!$D$5:$D$59,MATCH(W133,主原料マスタ!$B$5:$B$59,0))</f>
        <v>7</v>
      </c>
    </row>
    <row r="134" spans="2:47" x14ac:dyDescent="0.15">
      <c r="B134" s="37"/>
      <c r="C134" s="40"/>
      <c r="D134" s="130" t="s">
        <v>72</v>
      </c>
      <c r="E134" s="129"/>
      <c r="F134" s="129"/>
      <c r="G134" s="129"/>
      <c r="H134" s="38" t="str">
        <f>IF(ISERROR(MATCH(V133,$AF128:$AQ128,0)),"攻撃力","防御力合計")</f>
        <v>防御力合計</v>
      </c>
      <c r="I134" s="45"/>
      <c r="J134" s="46">
        <v>11</v>
      </c>
      <c r="K134" s="47" t="str">
        <f>IF(H134="防御力合計","叩防","")</f>
        <v>叩防</v>
      </c>
      <c r="L134" s="48">
        <v>0</v>
      </c>
      <c r="M134" s="47" t="str">
        <f>IF(H134="防御力合計","斬防","")</f>
        <v>斬防</v>
      </c>
      <c r="N134" s="48">
        <v>0</v>
      </c>
      <c r="O134" s="47" t="str">
        <f>IF(H134="防御力合計","突防","")</f>
        <v>突防</v>
      </c>
      <c r="P134" s="48">
        <v>0</v>
      </c>
      <c r="Q134" s="47" t="str">
        <f>IF(H134="防御力合計","魔防","")</f>
        <v>魔防</v>
      </c>
      <c r="R134" s="46">
        <v>0</v>
      </c>
      <c r="W134" s="2" t="s">
        <v>127</v>
      </c>
      <c r="Z134" s="2" t="s">
        <v>128</v>
      </c>
      <c r="AA134" s="2" t="s">
        <v>102</v>
      </c>
      <c r="AB134" s="2" t="s">
        <v>129</v>
      </c>
      <c r="AD134" s="1">
        <f>MOD(AD132+AD133,11)</f>
        <v>0</v>
      </c>
      <c r="AE134" s="61" t="str">
        <f>IF(U135="-","",INDEX(ロジック形状!$C$5:$C$26,MATCH(AD134,ロジック形状!$B$5:$B$26,0),))</f>
        <v>□□□□</v>
      </c>
    </row>
    <row r="135" spans="2:47" x14ac:dyDescent="0.15">
      <c r="B135" s="37"/>
      <c r="C135" s="35" t="s">
        <v>130</v>
      </c>
      <c r="D135" s="36"/>
      <c r="E135" s="36"/>
      <c r="F135" s="36"/>
      <c r="G135" s="36"/>
      <c r="H135" s="36"/>
      <c r="I135" s="36"/>
      <c r="J135" s="36"/>
      <c r="K135" s="36"/>
      <c r="L135" s="36"/>
      <c r="M135" s="36"/>
      <c r="N135" s="49" t="s">
        <v>131</v>
      </c>
      <c r="O135" s="50"/>
      <c r="P135" s="51"/>
      <c r="Q135" s="57" t="str">
        <f>AE134</f>
        <v>□□□□</v>
      </c>
      <c r="R135" s="58"/>
      <c r="T135" s="2" t="s">
        <v>110</v>
      </c>
      <c r="U135" s="2" t="str">
        <f>INDEX(U129:AU129,,MATCH(V133,U128:AU128,0))</f>
        <v>まんまるドロップ</v>
      </c>
      <c r="W135" s="2" t="str">
        <f>IF(U135="-","-",INDEX(ロジックマスタ!$D$5:$D$56,MATCH(U135,ロジックマスタ!$B$5:$B$56,0),))</f>
        <v>-</v>
      </c>
      <c r="Y135" s="2" t="s">
        <v>132</v>
      </c>
      <c r="Z135" s="1">
        <f>IF(OR(AC132="-",AC133="-"),0,(AC132+AC133)/17)</f>
        <v>2.8235294117647061</v>
      </c>
      <c r="AA135" s="1">
        <f>ROUNDDOWN(MIN(MAX(Z135,0),9),0)</f>
        <v>2</v>
      </c>
      <c r="AB135" s="2" t="str">
        <f>IF(OR(AA135=0,W135="-"),"","＋"&amp;AA135)</f>
        <v/>
      </c>
      <c r="AE135" s="61" t="str">
        <f>IF(U135="-","",INDEX(ロジック形状!$C$5:$C$26,MATCH(AD134,ロジック形状!$B$5:$B$26,0)+1,))</f>
        <v>■□□□</v>
      </c>
    </row>
    <row r="136" spans="2:47" x14ac:dyDescent="0.15">
      <c r="B136" s="40"/>
      <c r="C136" s="40"/>
      <c r="D136" s="38" t="s">
        <v>133</v>
      </c>
      <c r="E136" s="42"/>
      <c r="F136" s="42"/>
      <c r="G136" s="131" t="str">
        <f>U135&amp;AB135</f>
        <v>まんまるドロップ</v>
      </c>
      <c r="H136" s="131"/>
      <c r="I136" s="131"/>
      <c r="J136" s="38" t="s">
        <v>127</v>
      </c>
      <c r="K136" s="42"/>
      <c r="L136" s="43" t="str">
        <f>W135</f>
        <v>-</v>
      </c>
      <c r="M136" s="52"/>
      <c r="N136" s="53"/>
      <c r="O136" s="54"/>
      <c r="P136" s="55"/>
      <c r="Q136" s="59" t="str">
        <f>AE135</f>
        <v>■□□□</v>
      </c>
      <c r="R136" s="60"/>
    </row>
  </sheetData>
  <sheetProtection sheet="1" objects="1"/>
  <mergeCells count="24">
    <mergeCell ref="D134:G134"/>
    <mergeCell ref="G136:I136"/>
    <mergeCell ref="E130:G130"/>
    <mergeCell ref="J130:L130"/>
    <mergeCell ref="D131:G131"/>
    <mergeCell ref="E133:G133"/>
    <mergeCell ref="J133:L133"/>
    <mergeCell ref="D121:G121"/>
    <mergeCell ref="E123:G123"/>
    <mergeCell ref="J123:L123"/>
    <mergeCell ref="D124:G124"/>
    <mergeCell ref="G126:I126"/>
    <mergeCell ref="C114:D114"/>
    <mergeCell ref="E114:F114"/>
    <mergeCell ref="H114:J114"/>
    <mergeCell ref="C115:D115"/>
    <mergeCell ref="E120:G120"/>
    <mergeCell ref="J120:L120"/>
    <mergeCell ref="F104:G104"/>
    <mergeCell ref="N104:O104"/>
    <mergeCell ref="F108:G108"/>
    <mergeCell ref="N108:O108"/>
    <mergeCell ref="C113:D113"/>
    <mergeCell ref="G113:J113"/>
  </mergeCells>
  <phoneticPr fontId="8"/>
  <dataValidations count="9">
    <dataValidation type="list" allowBlank="1" showInputMessage="1" showErrorMessage="1" sqref="F104" xr:uid="{00000000-0002-0000-0100-000000000000}">
      <formula1>$A$1:$A$12</formula1>
    </dataValidation>
    <dataValidation type="whole" allowBlank="1" showInputMessage="1" showErrorMessage="1" sqref="D106:D107 D110:D111 F106:F107 F110:F111 H106:H107 H110:H111 J106:J107 J110:J111 L106:L107 L110:L111 N106:N107 N110:N111 P106:P107 P110:P111 R106:R107 R110:R111" xr:uid="{00000000-0002-0000-0100-000001000000}">
      <formula1>-5</formula1>
      <formula2>20</formula2>
    </dataValidation>
    <dataValidation type="list" allowBlank="1" showInputMessage="1" showErrorMessage="1" sqref="N104 F108 N108" xr:uid="{00000000-0002-0000-0100-000002000000}">
      <formula1>$B$1:$B$2</formula1>
    </dataValidation>
    <dataValidation type="list" allowBlank="1" showInputMessage="1" showErrorMessage="1" sqref="D121 D124 D131 D134" xr:uid="{00000000-0002-0000-0100-000003000000}">
      <formula1>$B$4:$B$5</formula1>
    </dataValidation>
    <dataValidation type="list" allowBlank="1" showInputMessage="1" showErrorMessage="1" sqref="E123:G123 E133:G133" xr:uid="{00000000-0002-0000-0100-000004000000}">
      <formula1>U120:AU120</formula1>
    </dataValidation>
    <dataValidation type="whole" operator="greaterThanOrEqual" allowBlank="1" showInputMessage="1" showErrorMessage="1" sqref="E105 J121 J124 J131 J134" xr:uid="{00000000-0002-0000-0100-000005000000}">
      <formula1>0</formula1>
    </dataValidation>
    <dataValidation type="whole" allowBlank="1" showInputMessage="1" showErrorMessage="1" sqref="L105 N105 P105 R105 D109 F109 H109 J109 L109 N109 P109 R109 L121 N121 P121 R121 L124 N124 P124 R124 L131 N131 P131 R131 L134 N134 P134 R134" xr:uid="{00000000-0002-0000-0100-000006000000}">
      <formula1>0</formula1>
      <formula2>99</formula2>
    </dataValidation>
    <dataValidation type="list" allowBlank="1" showInputMessage="1" showErrorMessage="1" sqref="E120:G120 E130:G130" xr:uid="{00000000-0002-0000-0100-000007000000}">
      <formula1>U108:AU108</formula1>
    </dataValidation>
    <dataValidation type="list" allowBlank="1" showInputMessage="1" showErrorMessage="1" sqref="J120 J123 J130 J133" xr:uid="{00000000-0002-0000-0100-000008000000}">
      <formula1>$C$2:$C$56</formula1>
    </dataValidation>
  </dataValidations>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76"/>
  <sheetViews>
    <sheetView topLeftCell="A101" workbookViewId="0">
      <selection activeCell="F104" sqref="F104:G104"/>
    </sheetView>
  </sheetViews>
  <sheetFormatPr defaultColWidth="9" defaultRowHeight="15.75" x14ac:dyDescent="0.15"/>
  <cols>
    <col min="1" max="2" width="2.25" style="1" customWidth="1"/>
    <col min="3" max="9" width="6" style="1" customWidth="1"/>
    <col min="10" max="10" width="5.5" style="1" customWidth="1"/>
    <col min="11" max="18" width="6" style="1" customWidth="1"/>
    <col min="19" max="19" width="9" style="1" customWidth="1"/>
    <col min="20" max="32" width="9" style="1" hidden="1" customWidth="1"/>
    <col min="33" max="52" width="0" style="1" hidden="1" customWidth="1"/>
    <col min="53" max="64" width="0" style="1" hidden="1"/>
    <col min="65" max="16384" width="9" style="1"/>
  </cols>
  <sheetData>
    <row r="1" spans="1:3" hidden="1" x14ac:dyDescent="0.15">
      <c r="A1" s="118" t="s">
        <v>69</v>
      </c>
      <c r="B1" s="2" t="s">
        <v>69</v>
      </c>
      <c r="C1" s="118" t="s">
        <v>70</v>
      </c>
    </row>
    <row r="2" spans="1:3" hidden="1" x14ac:dyDescent="0.15">
      <c r="A2" s="2" t="str">
        <f>ロジックテーブル!C6</f>
        <v>短剣</v>
      </c>
      <c r="B2" s="2" t="s">
        <v>71</v>
      </c>
      <c r="C2" s="2" t="str">
        <f>主原料マスタ!B5</f>
        <v>メノス銅</v>
      </c>
    </row>
    <row r="3" spans="1:3" hidden="1" x14ac:dyDescent="0.15">
      <c r="A3" s="2" t="str">
        <f>ロジックテーブル!C7</f>
        <v>片手剣</v>
      </c>
      <c r="C3" s="2" t="str">
        <f>主原料マスタ!B6</f>
        <v>フォルセナ鉄</v>
      </c>
    </row>
    <row r="4" spans="1:3" hidden="1" x14ac:dyDescent="0.15">
      <c r="A4" s="2" t="str">
        <f>ロジックテーブル!C8</f>
        <v>片手斧</v>
      </c>
      <c r="B4" s="2" t="s">
        <v>72</v>
      </c>
      <c r="C4" s="2" t="str">
        <f>主原料マスタ!B7</f>
        <v>グランス鋼鉄</v>
      </c>
    </row>
    <row r="5" spans="1:3" hidden="1" x14ac:dyDescent="0.15">
      <c r="A5" s="2" t="str">
        <f>ロジックテーブル!C9</f>
        <v>両手剣</v>
      </c>
      <c r="B5" s="2" t="s">
        <v>73</v>
      </c>
      <c r="C5" s="2" t="str">
        <f>主原料マスタ!B8</f>
        <v>ミスリル銀</v>
      </c>
    </row>
    <row r="6" spans="1:3" hidden="1" x14ac:dyDescent="0.15">
      <c r="A6" s="2" t="str">
        <f>ロジックテーブル!C10</f>
        <v>両手斧</v>
      </c>
      <c r="C6" s="2" t="str">
        <f>主原料マスタ!B9</f>
        <v>アストリア銀</v>
      </c>
    </row>
    <row r="7" spans="1:3" hidden="1" x14ac:dyDescent="0.15">
      <c r="A7" s="2" t="str">
        <f>ロジックテーブル!C11</f>
        <v>ハンマー</v>
      </c>
      <c r="C7" s="2" t="str">
        <f>主原料マスタ!B10</f>
        <v>パイゼル金</v>
      </c>
    </row>
    <row r="8" spans="1:3" hidden="1" x14ac:dyDescent="0.15">
      <c r="A8" s="2" t="str">
        <f>ロジックテーブル!C12</f>
        <v>槍</v>
      </c>
      <c r="C8" s="2" t="str">
        <f>主原料マスタ!B11</f>
        <v>イシュ白金</v>
      </c>
    </row>
    <row r="9" spans="1:3" hidden="1" x14ac:dyDescent="0.15">
      <c r="A9" s="2" t="str">
        <f>ロジックテーブル!C13</f>
        <v>杖</v>
      </c>
      <c r="C9" s="2" t="str">
        <f>主原料マスタ!B12</f>
        <v>ロリマー聖鉄</v>
      </c>
    </row>
    <row r="10" spans="1:3" hidden="1" x14ac:dyDescent="0.15">
      <c r="A10" s="2" t="str">
        <f>ロジックテーブル!C14</f>
        <v>ナックル</v>
      </c>
      <c r="C10" s="2" t="str">
        <f>主原料マスタ!B13</f>
        <v>アルテナ合金</v>
      </c>
    </row>
    <row r="11" spans="1:3" hidden="1" x14ac:dyDescent="0.15">
      <c r="A11" s="2" t="str">
        <f>ロジックテーブル!C15</f>
        <v>ヌンチャク</v>
      </c>
      <c r="C11" s="2" t="str">
        <f>主原料マスタ!B14</f>
        <v>マイア鉛</v>
      </c>
    </row>
    <row r="12" spans="1:3" hidden="1" x14ac:dyDescent="0.15">
      <c r="A12" s="2" t="str">
        <f>ロジックテーブル!C16</f>
        <v>弓矢</v>
      </c>
      <c r="C12" s="2" t="str">
        <f>主原料マスタ!B15</f>
        <v>オリハルコン</v>
      </c>
    </row>
    <row r="13" spans="1:3" hidden="1" x14ac:dyDescent="0.15">
      <c r="A13" s="2" t="str">
        <f>ロジックテーブル!C17</f>
        <v>盾</v>
      </c>
      <c r="C13" s="2" t="str">
        <f>主原料マスタ!B16</f>
        <v>かしの木</v>
      </c>
    </row>
    <row r="14" spans="1:3" hidden="1" x14ac:dyDescent="0.15">
      <c r="A14" s="2" t="str">
        <f>ロジックテーブル!C18</f>
        <v>兜</v>
      </c>
      <c r="C14" s="2" t="str">
        <f>主原料マスタ!B17</f>
        <v>ひいらぎの木</v>
      </c>
    </row>
    <row r="15" spans="1:3" hidden="1" x14ac:dyDescent="0.15">
      <c r="A15" s="2" t="str">
        <f>ロジックテーブル!C19</f>
        <v>帽子</v>
      </c>
      <c r="C15" s="2" t="str">
        <f>主原料マスタ!B18</f>
        <v>バオバブの木</v>
      </c>
    </row>
    <row r="16" spans="1:3" hidden="1" x14ac:dyDescent="0.15">
      <c r="A16" s="2" t="str">
        <f>ロジックテーブル!C20</f>
        <v>鎧</v>
      </c>
      <c r="C16" s="2" t="str">
        <f>主原料マスタ!B19</f>
        <v>黒檀</v>
      </c>
    </row>
    <row r="17" spans="1:3" hidden="1" x14ac:dyDescent="0.15">
      <c r="A17" s="2" t="str">
        <f>ロジックテーブル!C21</f>
        <v>全身鎧</v>
      </c>
      <c r="C17" s="2" t="str">
        <f>主原料マスタ!B20</f>
        <v>トネリコの木</v>
      </c>
    </row>
    <row r="18" spans="1:3" hidden="1" x14ac:dyDescent="0.15">
      <c r="A18" s="2" t="str">
        <f>ロジックテーブル!C22</f>
        <v>ローブ</v>
      </c>
      <c r="C18" s="2" t="str">
        <f>主原料マスタ!B21</f>
        <v>ディオールの木</v>
      </c>
    </row>
    <row r="19" spans="1:3" hidden="1" x14ac:dyDescent="0.15">
      <c r="A19" s="2" t="str">
        <f>ロジックテーブル!C23</f>
        <v>小手</v>
      </c>
      <c r="C19" s="2" t="str">
        <f>主原料マスタ!B22</f>
        <v>やどりぎ</v>
      </c>
    </row>
    <row r="20" spans="1:3" hidden="1" x14ac:dyDescent="0.15">
      <c r="A20" s="2" t="str">
        <f>ロジックテーブル!C24</f>
        <v>ブーツ</v>
      </c>
      <c r="C20" s="2" t="str">
        <f>主原料マスタ!B23</f>
        <v>化石樹</v>
      </c>
    </row>
    <row r="21" spans="1:3" hidden="1" x14ac:dyDescent="0.15">
      <c r="A21" s="2" t="str">
        <f>ロジックテーブル!C25</f>
        <v>サンダル</v>
      </c>
      <c r="C21" s="2" t="str">
        <f>主原料マスタ!B24</f>
        <v>大理石</v>
      </c>
    </row>
    <row r="22" spans="1:3" hidden="1" x14ac:dyDescent="0.15">
      <c r="A22" s="2" t="str">
        <f>ロジックテーブル!C26</f>
        <v>マント</v>
      </c>
      <c r="C22" s="2" t="str">
        <f>主原料マスタ!B25</f>
        <v>黒曜石</v>
      </c>
    </row>
    <row r="23" spans="1:3" hidden="1" x14ac:dyDescent="0.15">
      <c r="A23" s="2" t="str">
        <f>ロジックテーブル!C27</f>
        <v>リング</v>
      </c>
      <c r="C23" s="2" t="str">
        <f>主原料マスタ!B26</f>
        <v>ペダン石</v>
      </c>
    </row>
    <row r="24" spans="1:3" hidden="1" x14ac:dyDescent="0.15">
      <c r="A24" s="2" t="str">
        <f>ロジックテーブル!C28</f>
        <v>ペンダント</v>
      </c>
      <c r="C24" s="2" t="str">
        <f>主原料マスタ!B27</f>
        <v>ガイアの涙</v>
      </c>
    </row>
    <row r="25" spans="1:3" hidden="1" x14ac:dyDescent="0.15">
      <c r="A25" s="2" t="str">
        <f>ロジックテーブル!C29</f>
        <v>ハープ</v>
      </c>
      <c r="C25" s="2" t="str">
        <f>主原料マスタ!B28</f>
        <v>獣の革</v>
      </c>
    </row>
    <row r="26" spans="1:3" hidden="1" x14ac:dyDescent="0.15">
      <c r="A26" s="2" t="str">
        <f>ロジックテーブル!C30</f>
        <v>マリンバ</v>
      </c>
      <c r="C26" s="2" t="str">
        <f>主原料マスタ!B29</f>
        <v>ワニ革</v>
      </c>
    </row>
    <row r="27" spans="1:3" hidden="1" x14ac:dyDescent="0.15">
      <c r="A27" s="2" t="str">
        <f>ロジックテーブル!C31</f>
        <v>フルート</v>
      </c>
      <c r="C27" s="2" t="str">
        <f>主原料マスタ!B30</f>
        <v>鉄甲獣の革</v>
      </c>
    </row>
    <row r="28" spans="1:3" hidden="1" x14ac:dyDescent="0.15">
      <c r="A28" s="2" t="str">
        <f>ロジックテーブル!C32</f>
        <v>ドラム</v>
      </c>
      <c r="C28" s="2" t="str">
        <f>主原料マスタ!B31</f>
        <v>飛竜の革</v>
      </c>
    </row>
    <row r="29" spans="1:3" hidden="1" x14ac:dyDescent="0.15">
      <c r="C29" s="2" t="str">
        <f>主原料マスタ!B32</f>
        <v>魚鱗</v>
      </c>
    </row>
    <row r="30" spans="1:3" hidden="1" x14ac:dyDescent="0.15">
      <c r="C30" s="2" t="str">
        <f>主原料マスタ!B33</f>
        <v>トカゲの鱗</v>
      </c>
    </row>
    <row r="31" spans="1:3" hidden="1" x14ac:dyDescent="0.15">
      <c r="C31" s="2" t="str">
        <f>主原料マスタ!B34</f>
        <v>ヘビの鱗</v>
      </c>
    </row>
    <row r="32" spans="1:3" hidden="1" x14ac:dyDescent="0.15">
      <c r="C32" s="2" t="str">
        <f>主原料マスタ!B35</f>
        <v>竜鱗</v>
      </c>
    </row>
    <row r="33" spans="3:3" hidden="1" x14ac:dyDescent="0.15">
      <c r="C33" s="2" t="str">
        <f>主原料マスタ!B36</f>
        <v>獣の骨</v>
      </c>
    </row>
    <row r="34" spans="3:3" hidden="1" x14ac:dyDescent="0.15">
      <c r="C34" s="2" t="str">
        <f>主原料マスタ!B37</f>
        <v>象牙</v>
      </c>
    </row>
    <row r="35" spans="3:3" hidden="1" x14ac:dyDescent="0.15">
      <c r="C35" s="2" t="str">
        <f>主原料マスタ!B38</f>
        <v>呪われた骨</v>
      </c>
    </row>
    <row r="36" spans="3:3" hidden="1" x14ac:dyDescent="0.15">
      <c r="C36" s="2" t="str">
        <f>主原料マスタ!B39</f>
        <v>化石</v>
      </c>
    </row>
    <row r="37" spans="3:3" hidden="1" x14ac:dyDescent="0.15">
      <c r="C37" s="2" t="str">
        <f>主原料マスタ!B40</f>
        <v>トップル木綿</v>
      </c>
    </row>
    <row r="38" spans="3:3" hidden="1" x14ac:dyDescent="0.15">
      <c r="C38" s="2" t="str">
        <f>主原料マスタ!B41</f>
        <v>サルタン絹布</v>
      </c>
    </row>
    <row r="39" spans="3:3" hidden="1" x14ac:dyDescent="0.15">
      <c r="C39" s="2" t="str">
        <f>主原料マスタ!B42</f>
        <v>ジャドヘンプ</v>
      </c>
    </row>
    <row r="40" spans="3:3" hidden="1" x14ac:dyDescent="0.15">
      <c r="C40" s="2" t="str">
        <f>主原料マスタ!B43</f>
        <v>アルテナフェルト</v>
      </c>
    </row>
    <row r="41" spans="3:3" hidden="1" x14ac:dyDescent="0.15">
      <c r="C41" s="2" t="str">
        <f>主原料マスタ!B44</f>
        <v>ジャコビニ隕石</v>
      </c>
    </row>
    <row r="42" spans="3:3" hidden="1" x14ac:dyDescent="0.15">
      <c r="C42" s="2" t="str">
        <f>主原料マスタ!B45</f>
        <v>ハレー隕石</v>
      </c>
    </row>
    <row r="43" spans="3:3" hidden="1" x14ac:dyDescent="0.15">
      <c r="C43" s="2" t="str">
        <f>主原料マスタ!B46</f>
        <v>アンク隕石</v>
      </c>
    </row>
    <row r="44" spans="3:3" hidden="1" x14ac:dyDescent="0.15">
      <c r="C44" s="2" t="str">
        <f>主原料マスタ!B47</f>
        <v>ヴィネック隕石</v>
      </c>
    </row>
    <row r="45" spans="3:3" hidden="1" x14ac:dyDescent="0.15">
      <c r="C45" s="2" t="str">
        <f>主原料マスタ!B48</f>
        <v>タトル隕石</v>
      </c>
    </row>
    <row r="46" spans="3:3" hidden="1" x14ac:dyDescent="0.15">
      <c r="C46" s="2" t="str">
        <f>主原料マスタ!B49</f>
        <v>ネメシス隕石</v>
      </c>
    </row>
    <row r="47" spans="3:3" hidden="1" x14ac:dyDescent="0.15">
      <c r="C47" s="2" t="str">
        <f>主原料マスタ!B50</f>
        <v>ビエラ隕石</v>
      </c>
    </row>
    <row r="48" spans="3:3" hidden="1" x14ac:dyDescent="0.15">
      <c r="C48" s="2" t="str">
        <f>主原料マスタ!B51</f>
        <v>スウィフト隕石</v>
      </c>
    </row>
    <row r="49" spans="3:3" hidden="1" x14ac:dyDescent="0.15">
      <c r="C49" s="2" t="str">
        <f>主原料マスタ!B52</f>
        <v>アダマンタイト</v>
      </c>
    </row>
    <row r="50" spans="3:3" hidden="1" x14ac:dyDescent="0.15">
      <c r="C50" s="2" t="str">
        <f>主原料マスタ!B53</f>
        <v>フルメタル</v>
      </c>
    </row>
    <row r="51" spans="3:3" hidden="1" x14ac:dyDescent="0.15">
      <c r="C51" s="2" t="str">
        <f>主原料マスタ!B54</f>
        <v>サンゴ</v>
      </c>
    </row>
    <row r="52" spans="3:3" hidden="1" x14ac:dyDescent="0.15">
      <c r="C52" s="2" t="str">
        <f>主原料マスタ!B55</f>
        <v>甲羅</v>
      </c>
    </row>
    <row r="53" spans="3:3" hidden="1" x14ac:dyDescent="0.15">
      <c r="C53" s="2" t="str">
        <f>主原料マスタ!B56</f>
        <v>貝殻</v>
      </c>
    </row>
    <row r="54" spans="3:3" hidden="1" x14ac:dyDescent="0.15">
      <c r="C54" s="2" t="str">
        <f>主原料マスタ!B57</f>
        <v>エメラルド</v>
      </c>
    </row>
    <row r="55" spans="3:3" hidden="1" x14ac:dyDescent="0.15">
      <c r="C55" s="2" t="str">
        <f>主原料マスタ!B58</f>
        <v>パール</v>
      </c>
    </row>
    <row r="56" spans="3:3" hidden="1" x14ac:dyDescent="0.15">
      <c r="C56" s="2" t="str">
        <f>主原料マスタ!B59</f>
        <v>ラピスラズリ</v>
      </c>
    </row>
    <row r="57" spans="3:3" hidden="1" x14ac:dyDescent="0.15"/>
    <row r="58" spans="3:3" hidden="1" x14ac:dyDescent="0.15"/>
    <row r="59" spans="3:3" hidden="1" x14ac:dyDescent="0.15"/>
    <row r="60" spans="3:3" hidden="1" x14ac:dyDescent="0.15"/>
    <row r="61" spans="3:3" hidden="1" x14ac:dyDescent="0.15"/>
    <row r="62" spans="3:3" hidden="1" x14ac:dyDescent="0.15"/>
    <row r="63" spans="3:3" hidden="1" x14ac:dyDescent="0.15"/>
    <row r="64" spans="3:3"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spans="1:28" hidden="1" x14ac:dyDescent="0.15"/>
    <row r="98" spans="1:28" hidden="1" x14ac:dyDescent="0.15"/>
    <row r="99" spans="1:28" hidden="1" x14ac:dyDescent="0.15"/>
    <row r="100" spans="1:28" hidden="1" x14ac:dyDescent="0.15"/>
    <row r="101" spans="1:28" x14ac:dyDescent="0.15">
      <c r="A101" s="2" t="s">
        <v>135</v>
      </c>
    </row>
    <row r="103" spans="1:28" x14ac:dyDescent="0.15">
      <c r="B103" s="62" t="s">
        <v>75</v>
      </c>
      <c r="C103" s="63"/>
      <c r="D103" s="63"/>
      <c r="E103" s="63"/>
      <c r="F103" s="63"/>
      <c r="G103" s="63"/>
      <c r="H103" s="63"/>
      <c r="I103" s="63"/>
      <c r="J103" s="63"/>
      <c r="K103" s="63"/>
      <c r="L103" s="63"/>
      <c r="M103" s="63"/>
      <c r="N103" s="63"/>
      <c r="O103" s="63"/>
      <c r="P103" s="63"/>
      <c r="Q103" s="63"/>
      <c r="R103" s="79"/>
      <c r="T103" s="2" t="s">
        <v>76</v>
      </c>
      <c r="U103" s="1">
        <f>IF(AB104=0,"",IF(F104&lt;&gt;"使用しない",MIN(MAX(E105,10),200),10))</f>
        <v>75</v>
      </c>
      <c r="V103" s="2" t="s">
        <v>77</v>
      </c>
      <c r="W103" s="2" t="str">
        <f>IF(AB104=0,"",INDEX(ボディマスタ!$C$5:$C$16,MATCH(F104,ボディマスタ!$B$5:$B$16,0),))</f>
        <v>ハンマー</v>
      </c>
    </row>
    <row r="104" spans="1:28" x14ac:dyDescent="0.15">
      <c r="B104" s="64"/>
      <c r="C104" s="65" t="s">
        <v>78</v>
      </c>
      <c r="D104" s="63"/>
      <c r="E104" s="63"/>
      <c r="F104" s="119" t="s">
        <v>79</v>
      </c>
      <c r="G104" s="119"/>
      <c r="H104" s="63"/>
      <c r="I104" s="63"/>
      <c r="J104" s="79"/>
      <c r="K104" s="63" t="s">
        <v>80</v>
      </c>
      <c r="L104" s="63"/>
      <c r="M104" s="63"/>
      <c r="N104" s="119" t="s">
        <v>71</v>
      </c>
      <c r="O104" s="119"/>
      <c r="P104" s="63"/>
      <c r="Q104" s="63"/>
      <c r="R104" s="79"/>
      <c r="U104" s="2" t="s">
        <v>81</v>
      </c>
      <c r="V104" s="2" t="s">
        <v>82</v>
      </c>
      <c r="W104" s="2" t="s">
        <v>83</v>
      </c>
      <c r="X104" s="2" t="s">
        <v>84</v>
      </c>
      <c r="Y104" s="2" t="s">
        <v>85</v>
      </c>
      <c r="AA104" s="2" t="s">
        <v>86</v>
      </c>
      <c r="AB104" s="1">
        <f>IF(AND(F104="使用しない",SUM(V105:X108)=0),0,1)</f>
        <v>1</v>
      </c>
    </row>
    <row r="105" spans="1:28" x14ac:dyDescent="0.15">
      <c r="B105" s="64"/>
      <c r="C105" s="66" t="s">
        <v>76</v>
      </c>
      <c r="D105" s="67"/>
      <c r="E105" s="46">
        <v>75</v>
      </c>
      <c r="F105" s="68"/>
      <c r="G105" s="69"/>
      <c r="H105" s="69"/>
      <c r="I105" s="69"/>
      <c r="J105" s="80"/>
      <c r="K105" s="66" t="s">
        <v>87</v>
      </c>
      <c r="L105" s="39">
        <v>18</v>
      </c>
      <c r="M105" s="66" t="s">
        <v>88</v>
      </c>
      <c r="N105" s="39">
        <v>20</v>
      </c>
      <c r="O105" s="66" t="s">
        <v>89</v>
      </c>
      <c r="P105" s="46">
        <v>10</v>
      </c>
      <c r="Q105" s="66" t="s">
        <v>90</v>
      </c>
      <c r="R105" s="46">
        <v>5</v>
      </c>
      <c r="T105" s="2" t="s">
        <v>87</v>
      </c>
      <c r="U105" s="2" t="s">
        <v>91</v>
      </c>
      <c r="V105" s="1">
        <f>IF(N104&lt;&gt;"使用しない",L105,0)</f>
        <v>18</v>
      </c>
      <c r="W105" s="1">
        <f>IF(F108&lt;&gt;"使用しない",D109,0)</f>
        <v>2</v>
      </c>
      <c r="X105" s="1">
        <f>IF(N108&lt;&gt;"使用しない",L109,0)</f>
        <v>0</v>
      </c>
      <c r="Y105" s="1">
        <f>IF(AB104=0,"",MIN(MAX(SUM(V105:X105),0),99))</f>
        <v>20</v>
      </c>
    </row>
    <row r="106" spans="1:28" x14ac:dyDescent="0.15">
      <c r="B106" s="64"/>
      <c r="C106" s="66" t="s">
        <v>92</v>
      </c>
      <c r="D106" s="46">
        <v>0</v>
      </c>
      <c r="E106" s="66" t="s">
        <v>93</v>
      </c>
      <c r="F106" s="46">
        <v>0</v>
      </c>
      <c r="G106" s="66" t="s">
        <v>94</v>
      </c>
      <c r="H106" s="39">
        <v>0</v>
      </c>
      <c r="I106" s="66" t="s">
        <v>95</v>
      </c>
      <c r="J106" s="46">
        <v>0</v>
      </c>
      <c r="K106" s="66" t="s">
        <v>92</v>
      </c>
      <c r="L106" s="39">
        <v>0</v>
      </c>
      <c r="M106" s="66" t="s">
        <v>93</v>
      </c>
      <c r="N106" s="39">
        <v>0</v>
      </c>
      <c r="O106" s="66" t="s">
        <v>94</v>
      </c>
      <c r="P106" s="46">
        <v>0</v>
      </c>
      <c r="Q106" s="66" t="s">
        <v>95</v>
      </c>
      <c r="R106" s="46">
        <v>0</v>
      </c>
      <c r="T106" s="2" t="s">
        <v>88</v>
      </c>
      <c r="U106" s="2" t="s">
        <v>91</v>
      </c>
      <c r="V106" s="1">
        <f>IF(N104&lt;&gt;"使用しない",N105,0)</f>
        <v>20</v>
      </c>
      <c r="W106" s="1">
        <f>IF(F108&lt;&gt;"使用しない",F109,0)</f>
        <v>2</v>
      </c>
      <c r="X106" s="1">
        <f>IF(N108&lt;&gt;"使用しない",N109,0)</f>
        <v>0</v>
      </c>
      <c r="Y106" s="1">
        <f>IF(AB104=0,"",MIN(MAX(SUM(V106:X106),0),99))</f>
        <v>22</v>
      </c>
      <c r="AA106" s="2" t="s">
        <v>96</v>
      </c>
      <c r="AB106" s="1">
        <f>IF(W103="ノーマル",0,U103)+SUM(V105:X108)</f>
        <v>141</v>
      </c>
    </row>
    <row r="107" spans="1:28" x14ac:dyDescent="0.15">
      <c r="B107" s="64"/>
      <c r="C107" s="66" t="s">
        <v>97</v>
      </c>
      <c r="D107" s="46">
        <v>0</v>
      </c>
      <c r="E107" s="66" t="s">
        <v>98</v>
      </c>
      <c r="F107" s="46">
        <v>4</v>
      </c>
      <c r="G107" s="66" t="s">
        <v>99</v>
      </c>
      <c r="H107" s="39">
        <v>4</v>
      </c>
      <c r="I107" s="66" t="s">
        <v>100</v>
      </c>
      <c r="J107" s="46">
        <v>0</v>
      </c>
      <c r="K107" s="66" t="s">
        <v>97</v>
      </c>
      <c r="L107" s="39">
        <v>0</v>
      </c>
      <c r="M107" s="66" t="s">
        <v>98</v>
      </c>
      <c r="N107" s="39">
        <v>0</v>
      </c>
      <c r="O107" s="66" t="s">
        <v>99</v>
      </c>
      <c r="P107" s="46">
        <v>0</v>
      </c>
      <c r="Q107" s="66" t="s">
        <v>100</v>
      </c>
      <c r="R107" s="46">
        <v>0</v>
      </c>
      <c r="T107" s="2" t="s">
        <v>89</v>
      </c>
      <c r="U107" s="2" t="s">
        <v>91</v>
      </c>
      <c r="V107" s="1">
        <f>IF(N104&lt;&gt;"使用しない",P105,0)</f>
        <v>10</v>
      </c>
      <c r="W107" s="1">
        <f>IF(F108&lt;&gt;"使用しない",H109,0)</f>
        <v>1</v>
      </c>
      <c r="X107" s="1">
        <f>IF(N108&lt;&gt;"使用しない",P109,0)</f>
        <v>0</v>
      </c>
      <c r="Y107" s="1">
        <f>IF(AB104=0,"",MIN(MAX(SUM(V107:X107),0),99))</f>
        <v>11</v>
      </c>
    </row>
    <row r="108" spans="1:28" x14ac:dyDescent="0.15">
      <c r="B108" s="64"/>
      <c r="C108" s="65" t="s">
        <v>80</v>
      </c>
      <c r="D108" s="63"/>
      <c r="E108" s="63"/>
      <c r="F108" s="119" t="s">
        <v>71</v>
      </c>
      <c r="G108" s="119"/>
      <c r="H108" s="63"/>
      <c r="I108" s="63"/>
      <c r="J108" s="79"/>
      <c r="K108" s="63" t="s">
        <v>80</v>
      </c>
      <c r="L108" s="63"/>
      <c r="M108" s="63"/>
      <c r="N108" s="119" t="s">
        <v>71</v>
      </c>
      <c r="O108" s="119"/>
      <c r="P108" s="63"/>
      <c r="Q108" s="63"/>
      <c r="R108" s="79"/>
      <c r="T108" s="2" t="s">
        <v>90</v>
      </c>
      <c r="U108" s="2" t="s">
        <v>91</v>
      </c>
      <c r="V108" s="1">
        <f>IF(N104&lt;&gt;"使用しない",R105,0)</f>
        <v>5</v>
      </c>
      <c r="W108" s="1">
        <f>IF(F108&lt;&gt;"使用しない",J109,0)</f>
        <v>0</v>
      </c>
      <c r="X108" s="1">
        <f>IF(N108&lt;&gt;"使用しない",R109,0)</f>
        <v>8</v>
      </c>
      <c r="Y108" s="1">
        <f>IF(AB104=0,"",MIN(MAX(SUM(V108:X108),0),99))</f>
        <v>13</v>
      </c>
      <c r="AA108" s="2" t="s">
        <v>101</v>
      </c>
      <c r="AB108" s="1">
        <f>ROUNDDOWN(AB106*2.5,0)</f>
        <v>352</v>
      </c>
    </row>
    <row r="109" spans="1:28" x14ac:dyDescent="0.15">
      <c r="B109" s="64"/>
      <c r="C109" s="66" t="s">
        <v>87</v>
      </c>
      <c r="D109" s="46">
        <v>2</v>
      </c>
      <c r="E109" s="66" t="s">
        <v>88</v>
      </c>
      <c r="F109" s="46">
        <v>2</v>
      </c>
      <c r="G109" s="66" t="s">
        <v>89</v>
      </c>
      <c r="H109" s="39">
        <v>1</v>
      </c>
      <c r="I109" s="66" t="s">
        <v>90</v>
      </c>
      <c r="J109" s="46">
        <v>0</v>
      </c>
      <c r="K109" s="66" t="s">
        <v>87</v>
      </c>
      <c r="L109" s="39">
        <v>0</v>
      </c>
      <c r="M109" s="66" t="s">
        <v>88</v>
      </c>
      <c r="N109" s="39">
        <v>0</v>
      </c>
      <c r="O109" s="66" t="s">
        <v>89</v>
      </c>
      <c r="P109" s="46">
        <v>0</v>
      </c>
      <c r="Q109" s="66" t="s">
        <v>90</v>
      </c>
      <c r="R109" s="46">
        <v>8</v>
      </c>
      <c r="T109" s="2" t="s">
        <v>92</v>
      </c>
      <c r="U109" s="1">
        <f>IF(F104&lt;&gt;"使用しない",D106,0)</f>
        <v>0</v>
      </c>
      <c r="V109" s="1">
        <f>IF(N104&lt;&gt;"使用しない",L106,0)</f>
        <v>0</v>
      </c>
      <c r="W109" s="1">
        <f>IF(F108&lt;&gt;"使用しない",D110,0)</f>
        <v>0</v>
      </c>
      <c r="X109" s="1">
        <f>IF(N108&lt;&gt;"使用しない",L110,0)</f>
        <v>-1</v>
      </c>
      <c r="Y109" s="1">
        <f>IF(AB104=0,"",MIN(MAX(SUM(U109:X109)*5+20,20),99))</f>
        <v>20</v>
      </c>
    </row>
    <row r="110" spans="1:28" x14ac:dyDescent="0.15">
      <c r="B110" s="64"/>
      <c r="C110" s="66" t="s">
        <v>92</v>
      </c>
      <c r="D110" s="46">
        <v>0</v>
      </c>
      <c r="E110" s="66" t="s">
        <v>93</v>
      </c>
      <c r="F110" s="46">
        <v>0</v>
      </c>
      <c r="G110" s="66" t="s">
        <v>94</v>
      </c>
      <c r="H110" s="39">
        <v>0</v>
      </c>
      <c r="I110" s="66" t="s">
        <v>95</v>
      </c>
      <c r="J110" s="46">
        <v>0</v>
      </c>
      <c r="K110" s="66" t="s">
        <v>92</v>
      </c>
      <c r="L110" s="39">
        <v>-1</v>
      </c>
      <c r="M110" s="66" t="s">
        <v>93</v>
      </c>
      <c r="N110" s="39">
        <v>0</v>
      </c>
      <c r="O110" s="66" t="s">
        <v>94</v>
      </c>
      <c r="P110" s="46">
        <v>0</v>
      </c>
      <c r="Q110" s="66" t="s">
        <v>95</v>
      </c>
      <c r="R110" s="46">
        <v>-1</v>
      </c>
      <c r="T110" s="2" t="s">
        <v>93</v>
      </c>
      <c r="U110" s="1">
        <f>IF(F104&lt;&gt;"使用しない",F106,0)</f>
        <v>0</v>
      </c>
      <c r="V110" s="1">
        <f>IF(N104&lt;&gt;"使用しない",N106,0)</f>
        <v>0</v>
      </c>
      <c r="W110" s="1">
        <f>IF(F108&lt;&gt;"使用しない",F110,0)</f>
        <v>0</v>
      </c>
      <c r="X110" s="1">
        <f>IF(N108&lt;&gt;"使用しない",N110,0)</f>
        <v>0</v>
      </c>
      <c r="Y110" s="1">
        <f>IF(AB104=0,"",MIN(MAX(SUM(U110:X110)*5+20,20),99))</f>
        <v>20</v>
      </c>
      <c r="AA110" s="2" t="s">
        <v>102</v>
      </c>
      <c r="AB110" s="1">
        <f>IF(AB104=0,"",MIN(MAX(AB108,50),999))</f>
        <v>352</v>
      </c>
    </row>
    <row r="111" spans="1:28" x14ac:dyDescent="0.15">
      <c r="B111" s="64"/>
      <c r="C111" s="66" t="s">
        <v>97</v>
      </c>
      <c r="D111" s="46">
        <v>0</v>
      </c>
      <c r="E111" s="66" t="s">
        <v>98</v>
      </c>
      <c r="F111" s="46">
        <v>0</v>
      </c>
      <c r="G111" s="66" t="s">
        <v>99</v>
      </c>
      <c r="H111" s="39">
        <v>0</v>
      </c>
      <c r="I111" s="66" t="s">
        <v>100</v>
      </c>
      <c r="J111" s="46">
        <v>0</v>
      </c>
      <c r="K111" s="66" t="s">
        <v>97</v>
      </c>
      <c r="L111" s="39">
        <v>-1</v>
      </c>
      <c r="M111" s="66" t="s">
        <v>98</v>
      </c>
      <c r="N111" s="39">
        <v>0</v>
      </c>
      <c r="O111" s="66" t="s">
        <v>99</v>
      </c>
      <c r="P111" s="46">
        <v>0</v>
      </c>
      <c r="Q111" s="66" t="s">
        <v>100</v>
      </c>
      <c r="R111" s="46">
        <v>4</v>
      </c>
      <c r="T111" s="2" t="s">
        <v>94</v>
      </c>
      <c r="U111" s="1">
        <f>IF(F104&lt;&gt;"使用しない",H106,0)</f>
        <v>0</v>
      </c>
      <c r="V111" s="1">
        <f>IF(N104&lt;&gt;"使用しない",P106,0)</f>
        <v>0</v>
      </c>
      <c r="W111" s="1">
        <f>IF(F108&lt;&gt;"使用しない",H110,0)</f>
        <v>0</v>
      </c>
      <c r="X111" s="1">
        <f>IF(N108&lt;&gt;"使用しない",P110,0)</f>
        <v>0</v>
      </c>
      <c r="Y111" s="1">
        <f>IF(AB104=0,"",MIN(MAX(SUM(U111:X111)*5+20,20),99))</f>
        <v>20</v>
      </c>
    </row>
    <row r="112" spans="1:28" x14ac:dyDescent="0.15">
      <c r="B112" s="64"/>
      <c r="C112" s="65" t="s">
        <v>103</v>
      </c>
      <c r="D112" s="63"/>
      <c r="E112" s="63"/>
      <c r="F112" s="63"/>
      <c r="G112" s="63"/>
      <c r="H112" s="63"/>
      <c r="I112" s="63"/>
      <c r="J112" s="63"/>
      <c r="K112" s="63"/>
      <c r="L112" s="63"/>
      <c r="M112" s="63"/>
      <c r="N112" s="63"/>
      <c r="O112" s="63"/>
      <c r="P112" s="63"/>
      <c r="Q112" s="63"/>
      <c r="R112" s="79"/>
      <c r="T112" s="2" t="s">
        <v>95</v>
      </c>
      <c r="U112" s="1">
        <f>IF(F104&lt;&gt;"使用しない",J106,0)</f>
        <v>0</v>
      </c>
      <c r="V112" s="1">
        <f>IF(N104&lt;&gt;"使用しない",R106,0)</f>
        <v>0</v>
      </c>
      <c r="W112" s="1">
        <f>IF(F108&lt;&gt;"使用しない",J110,0)</f>
        <v>0</v>
      </c>
      <c r="X112" s="1">
        <f>IF(N108&lt;&gt;"使用しない",R110,0)</f>
        <v>-1</v>
      </c>
      <c r="Y112" s="1">
        <f>IF(AB104=0,"",MIN(MAX(SUM(U112:X112)*5+20,20),99))</f>
        <v>20</v>
      </c>
      <c r="AA112" s="2" t="s">
        <v>104</v>
      </c>
      <c r="AB112" s="1">
        <f>(CEILING(SUM(V105:V108),1000)+CEILING(SUM(W105:W108),1000)+CEILING(SUM(X105:X108),1000))/1000</f>
        <v>3</v>
      </c>
    </row>
    <row r="113" spans="2:28" x14ac:dyDescent="0.15">
      <c r="B113" s="64"/>
      <c r="C113" s="120" t="s">
        <v>105</v>
      </c>
      <c r="D113" s="121"/>
      <c r="E113" s="70">
        <f>AB110</f>
        <v>352</v>
      </c>
      <c r="F113" s="71"/>
      <c r="G113" s="122" t="s">
        <v>106</v>
      </c>
      <c r="H113" s="123"/>
      <c r="I113" s="123"/>
      <c r="J113" s="124"/>
      <c r="K113" s="81" t="s">
        <v>92</v>
      </c>
      <c r="L113" s="72">
        <f>Y109</f>
        <v>20</v>
      </c>
      <c r="M113" s="81" t="s">
        <v>93</v>
      </c>
      <c r="N113" s="72">
        <f>Y110</f>
        <v>20</v>
      </c>
      <c r="O113" s="81" t="s">
        <v>94</v>
      </c>
      <c r="P113" s="71">
        <f>Y111</f>
        <v>20</v>
      </c>
      <c r="Q113" s="81" t="s">
        <v>95</v>
      </c>
      <c r="R113" s="71">
        <f>Y112</f>
        <v>20</v>
      </c>
      <c r="T113" s="2" t="s">
        <v>97</v>
      </c>
      <c r="U113" s="1">
        <f>IF(F104&lt;&gt;"使用しない",D107,0)</f>
        <v>0</v>
      </c>
      <c r="V113" s="1">
        <f>IF(N104&lt;&gt;"使用しない",L107,0)</f>
        <v>0</v>
      </c>
      <c r="W113" s="1">
        <f>IF(F108&lt;&gt;"使用しない",D111,0)</f>
        <v>0</v>
      </c>
      <c r="X113" s="1">
        <f>IF(N108&lt;&gt;"使用しない",L111,0)</f>
        <v>-1</v>
      </c>
      <c r="Y113" s="1">
        <f>IF(AB104=0,"",MIN(MAX(SUM(U113:X113)*5+20,20),99))</f>
        <v>20</v>
      </c>
    </row>
    <row r="114" spans="2:28" x14ac:dyDescent="0.15">
      <c r="B114" s="64"/>
      <c r="C114" s="120" t="s">
        <v>107</v>
      </c>
      <c r="D114" s="121"/>
      <c r="E114" s="125" t="str">
        <f>W103</f>
        <v>ハンマー</v>
      </c>
      <c r="F114" s="126"/>
      <c r="G114" s="74"/>
      <c r="H114" s="127" t="str">
        <f>AB116</f>
        <v>6×6</v>
      </c>
      <c r="I114" s="127"/>
      <c r="J114" s="128"/>
      <c r="K114" s="81" t="s">
        <v>97</v>
      </c>
      <c r="L114" s="72">
        <f>Y113</f>
        <v>20</v>
      </c>
      <c r="M114" s="81" t="s">
        <v>98</v>
      </c>
      <c r="N114" s="72">
        <f>Y114</f>
        <v>40</v>
      </c>
      <c r="O114" s="81" t="s">
        <v>99</v>
      </c>
      <c r="P114" s="71">
        <f>Y115</f>
        <v>40</v>
      </c>
      <c r="Q114" s="81" t="s">
        <v>100</v>
      </c>
      <c r="R114" s="71">
        <f>Y116</f>
        <v>40</v>
      </c>
      <c r="T114" s="2" t="s">
        <v>98</v>
      </c>
      <c r="U114" s="1">
        <f>IF(F104&lt;&gt;"使用しない",F107,0)</f>
        <v>4</v>
      </c>
      <c r="V114" s="1">
        <f>IF(N104&lt;&gt;"使用しない",N107,0)</f>
        <v>0</v>
      </c>
      <c r="W114" s="1">
        <f>IF(F108&lt;&gt;"使用しない",F111,0)</f>
        <v>0</v>
      </c>
      <c r="X114" s="1">
        <f>IF(N108&lt;&gt;"使用しない",N111,0)</f>
        <v>0</v>
      </c>
      <c r="Y114" s="1">
        <f>IF(AB104=0,"",MIN(MAX(SUM(U114:X114)*5+20,20),99))</f>
        <v>40</v>
      </c>
      <c r="AA114" s="2" t="s">
        <v>108</v>
      </c>
      <c r="AB114" s="2" t="str">
        <f>IF(AB104=0,"",INDEX(ボディマスタ!$F$5:$F$8,MATCH(AB112,ボディマスタ!$E$5:$E$8,0),)&amp;"%")</f>
        <v>15%</v>
      </c>
    </row>
    <row r="115" spans="2:28" x14ac:dyDescent="0.15">
      <c r="B115" s="64"/>
      <c r="C115" s="120" t="s">
        <v>108</v>
      </c>
      <c r="D115" s="121"/>
      <c r="E115" s="75" t="str">
        <f>AB114</f>
        <v>15%</v>
      </c>
      <c r="F115" s="71"/>
      <c r="G115" s="76"/>
      <c r="H115" s="76"/>
      <c r="I115" s="76"/>
      <c r="J115" s="76"/>
      <c r="K115" s="81" t="s">
        <v>76</v>
      </c>
      <c r="L115" s="82"/>
      <c r="M115" s="73">
        <f>U103</f>
        <v>75</v>
      </c>
      <c r="N115" s="68"/>
      <c r="O115" s="69"/>
      <c r="P115" s="69"/>
      <c r="Q115" s="69"/>
      <c r="R115" s="80"/>
      <c r="T115" s="2" t="s">
        <v>99</v>
      </c>
      <c r="U115" s="1">
        <f>IF(F104&lt;&gt;"使用しない",H107,0)</f>
        <v>4</v>
      </c>
      <c r="V115" s="1">
        <f>IF(N104&lt;&gt;"使用しない",P107,0)</f>
        <v>0</v>
      </c>
      <c r="W115" s="1">
        <f>IF(F108&lt;&gt;"使用しない",H111,0)</f>
        <v>0</v>
      </c>
      <c r="X115" s="1">
        <f>IF(N108&lt;&gt;"使用しない",P111,0)</f>
        <v>0</v>
      </c>
      <c r="Y115" s="1">
        <f>IF(AB104=0,"",MIN(MAX(SUM(U115:X115)*5+20,20),99))</f>
        <v>40</v>
      </c>
    </row>
    <row r="116" spans="2:28" x14ac:dyDescent="0.15">
      <c r="B116" s="77"/>
      <c r="C116" s="77"/>
      <c r="D116" s="78"/>
      <c r="E116" s="78"/>
      <c r="F116" s="78"/>
      <c r="G116" s="78"/>
      <c r="H116" s="78"/>
      <c r="I116" s="78"/>
      <c r="J116" s="78"/>
      <c r="K116" s="81" t="s">
        <v>87</v>
      </c>
      <c r="L116" s="72">
        <f>Y105</f>
        <v>20</v>
      </c>
      <c r="M116" s="81" t="s">
        <v>88</v>
      </c>
      <c r="N116" s="72">
        <f>Y106</f>
        <v>22</v>
      </c>
      <c r="O116" s="81" t="s">
        <v>89</v>
      </c>
      <c r="P116" s="71">
        <f>Y107</f>
        <v>11</v>
      </c>
      <c r="Q116" s="81" t="s">
        <v>90</v>
      </c>
      <c r="R116" s="71">
        <f>Y108</f>
        <v>13</v>
      </c>
      <c r="T116" s="2" t="s">
        <v>100</v>
      </c>
      <c r="U116" s="1">
        <f>IF(F104&lt;&gt;"使用しない",J107,0)</f>
        <v>0</v>
      </c>
      <c r="V116" s="1">
        <f>IF(N104&lt;&gt;"使用しない",R107,0)</f>
        <v>0</v>
      </c>
      <c r="W116" s="1">
        <f>IF(F108&lt;&gt;"使用しない",J111,0)</f>
        <v>0</v>
      </c>
      <c r="X116" s="1">
        <f>IF(N108&lt;&gt;"使用しない",R111,0)</f>
        <v>4</v>
      </c>
      <c r="Y116" s="1">
        <f>IF(AB104=0,"",MIN(MAX(SUM(U116:X116)*5+20,20),99))</f>
        <v>40</v>
      </c>
      <c r="AA116" s="2" t="s">
        <v>109</v>
      </c>
      <c r="AB116" s="2" t="str">
        <f>IF(AB104=0,"",INDEX(ボディマスタ!$G$5:$G$8,MATCH(AB112,ボディマスタ!$E$5:$E$8,0),))</f>
        <v>6×6</v>
      </c>
    </row>
    <row r="118" spans="2:28" x14ac:dyDescent="0.15">
      <c r="B118" s="62" t="s">
        <v>75</v>
      </c>
      <c r="C118" s="63"/>
      <c r="D118" s="63"/>
      <c r="E118" s="63"/>
      <c r="F118" s="63"/>
      <c r="G118" s="63"/>
      <c r="H118" s="63"/>
      <c r="I118" s="63"/>
      <c r="J118" s="63"/>
      <c r="K118" s="63"/>
      <c r="L118" s="63"/>
      <c r="M118" s="63"/>
      <c r="N118" s="63"/>
      <c r="O118" s="63"/>
      <c r="P118" s="63"/>
      <c r="Q118" s="63"/>
      <c r="R118" s="79"/>
      <c r="T118" s="2" t="s">
        <v>76</v>
      </c>
      <c r="U118" s="1">
        <f>IF(AB119=0,"",IF(F119&lt;&gt;"使用しない",MIN(MAX(E120,10),200),10))</f>
        <v>93</v>
      </c>
      <c r="V118" s="2" t="s">
        <v>77</v>
      </c>
      <c r="W118" s="2" t="str">
        <f>IF(AB119=0,"",INDEX(ボディマスタ!$C$5:$C$16,MATCH(F119,ボディマスタ!$B$5:$B$16,0),))</f>
        <v>チェーンソー</v>
      </c>
    </row>
    <row r="119" spans="2:28" x14ac:dyDescent="0.15">
      <c r="B119" s="64"/>
      <c r="C119" s="65" t="s">
        <v>78</v>
      </c>
      <c r="D119" s="63"/>
      <c r="E119" s="63"/>
      <c r="F119" s="119" t="s">
        <v>136</v>
      </c>
      <c r="G119" s="119"/>
      <c r="H119" s="63"/>
      <c r="I119" s="63"/>
      <c r="J119" s="79"/>
      <c r="K119" s="63" t="s">
        <v>80</v>
      </c>
      <c r="L119" s="63"/>
      <c r="M119" s="63"/>
      <c r="N119" s="119" t="s">
        <v>71</v>
      </c>
      <c r="O119" s="119"/>
      <c r="P119" s="63"/>
      <c r="Q119" s="63"/>
      <c r="R119" s="79"/>
      <c r="U119" s="2" t="s">
        <v>81</v>
      </c>
      <c r="V119" s="2" t="s">
        <v>82</v>
      </c>
      <c r="W119" s="2" t="s">
        <v>83</v>
      </c>
      <c r="X119" s="2" t="s">
        <v>84</v>
      </c>
      <c r="Y119" s="2" t="s">
        <v>85</v>
      </c>
      <c r="AA119" s="2" t="s">
        <v>86</v>
      </c>
      <c r="AB119" s="1">
        <f>IF(AND(F119="使用しない",SUM(V120:X123)=0),0,1)</f>
        <v>1</v>
      </c>
    </row>
    <row r="120" spans="2:28" x14ac:dyDescent="0.15">
      <c r="B120" s="64"/>
      <c r="C120" s="66" t="s">
        <v>76</v>
      </c>
      <c r="D120" s="67"/>
      <c r="E120" s="46">
        <v>93</v>
      </c>
      <c r="F120" s="68"/>
      <c r="G120" s="69"/>
      <c r="H120" s="69"/>
      <c r="I120" s="69"/>
      <c r="J120" s="80"/>
      <c r="K120" s="66" t="s">
        <v>87</v>
      </c>
      <c r="L120" s="39">
        <v>24</v>
      </c>
      <c r="M120" s="66" t="s">
        <v>88</v>
      </c>
      <c r="N120" s="39">
        <v>24</v>
      </c>
      <c r="O120" s="66" t="s">
        <v>89</v>
      </c>
      <c r="P120" s="46">
        <v>24</v>
      </c>
      <c r="Q120" s="66" t="s">
        <v>90</v>
      </c>
      <c r="R120" s="46">
        <v>3</v>
      </c>
      <c r="T120" s="2" t="s">
        <v>87</v>
      </c>
      <c r="U120" s="2" t="s">
        <v>91</v>
      </c>
      <c r="V120" s="1">
        <f>IF(N119&lt;&gt;"使用しない",L120,0)</f>
        <v>24</v>
      </c>
      <c r="W120" s="1">
        <f>IF(F123&lt;&gt;"使用しない",D124,0)</f>
        <v>0</v>
      </c>
      <c r="X120" s="1">
        <f>IF(N123&lt;&gt;"使用しない",L124,0)</f>
        <v>3</v>
      </c>
      <c r="Y120" s="1">
        <f>IF(AB119=0,"",MIN(MAX(SUM(V120:X120),0),99))</f>
        <v>27</v>
      </c>
    </row>
    <row r="121" spans="2:28" x14ac:dyDescent="0.15">
      <c r="B121" s="64"/>
      <c r="C121" s="66" t="s">
        <v>92</v>
      </c>
      <c r="D121" s="46">
        <v>0</v>
      </c>
      <c r="E121" s="66" t="s">
        <v>93</v>
      </c>
      <c r="F121" s="46">
        <v>1</v>
      </c>
      <c r="G121" s="66" t="s">
        <v>94</v>
      </c>
      <c r="H121" s="39">
        <v>0</v>
      </c>
      <c r="I121" s="66" t="s">
        <v>95</v>
      </c>
      <c r="J121" s="46">
        <v>0</v>
      </c>
      <c r="K121" s="66" t="s">
        <v>92</v>
      </c>
      <c r="L121" s="39">
        <v>0</v>
      </c>
      <c r="M121" s="66" t="s">
        <v>93</v>
      </c>
      <c r="N121" s="39">
        <v>0</v>
      </c>
      <c r="O121" s="66" t="s">
        <v>94</v>
      </c>
      <c r="P121" s="46">
        <v>0</v>
      </c>
      <c r="Q121" s="66" t="s">
        <v>95</v>
      </c>
      <c r="R121" s="46">
        <v>0</v>
      </c>
      <c r="T121" s="2" t="s">
        <v>88</v>
      </c>
      <c r="U121" s="2" t="s">
        <v>91</v>
      </c>
      <c r="V121" s="1">
        <f>IF(N119&lt;&gt;"使用しない",N120,0)</f>
        <v>24</v>
      </c>
      <c r="W121" s="1">
        <f>IF(F123&lt;&gt;"使用しない",F124,0)</f>
        <v>0</v>
      </c>
      <c r="X121" s="1">
        <f>IF(N123&lt;&gt;"使用しない",N124,0)</f>
        <v>3</v>
      </c>
      <c r="Y121" s="1">
        <f>IF(AB119=0,"",MIN(MAX(SUM(V121:X121),0),99))</f>
        <v>27</v>
      </c>
      <c r="AA121" s="2" t="s">
        <v>96</v>
      </c>
      <c r="AB121" s="1">
        <f>IF(W118="ノーマル",0,U118)+SUM(V120:X123)</f>
        <v>200</v>
      </c>
    </row>
    <row r="122" spans="2:28" x14ac:dyDescent="0.15">
      <c r="B122" s="64"/>
      <c r="C122" s="66" t="s">
        <v>97</v>
      </c>
      <c r="D122" s="46">
        <v>-3</v>
      </c>
      <c r="E122" s="66" t="s">
        <v>98</v>
      </c>
      <c r="F122" s="46">
        <v>3</v>
      </c>
      <c r="G122" s="66" t="s">
        <v>99</v>
      </c>
      <c r="H122" s="39">
        <v>0</v>
      </c>
      <c r="I122" s="66" t="s">
        <v>100</v>
      </c>
      <c r="J122" s="46">
        <v>0</v>
      </c>
      <c r="K122" s="66" t="s">
        <v>97</v>
      </c>
      <c r="L122" s="39">
        <v>0</v>
      </c>
      <c r="M122" s="66" t="s">
        <v>98</v>
      </c>
      <c r="N122" s="39">
        <v>0</v>
      </c>
      <c r="O122" s="66" t="s">
        <v>99</v>
      </c>
      <c r="P122" s="46">
        <v>0</v>
      </c>
      <c r="Q122" s="66" t="s">
        <v>100</v>
      </c>
      <c r="R122" s="46">
        <v>0</v>
      </c>
      <c r="T122" s="2" t="s">
        <v>89</v>
      </c>
      <c r="U122" s="2" t="s">
        <v>91</v>
      </c>
      <c r="V122" s="1">
        <f>IF(N119&lt;&gt;"使用しない",P120,0)</f>
        <v>24</v>
      </c>
      <c r="W122" s="1">
        <f>IF(F123&lt;&gt;"使用しない",H124,0)</f>
        <v>0</v>
      </c>
      <c r="X122" s="1">
        <f>IF(N123&lt;&gt;"使用しない",P124,0)</f>
        <v>3</v>
      </c>
      <c r="Y122" s="1">
        <f>IF(AB119=0,"",MIN(MAX(SUM(V122:X122),0),99))</f>
        <v>27</v>
      </c>
    </row>
    <row r="123" spans="2:28" x14ac:dyDescent="0.15">
      <c r="B123" s="64"/>
      <c r="C123" s="65" t="s">
        <v>80</v>
      </c>
      <c r="D123" s="63"/>
      <c r="E123" s="63"/>
      <c r="F123" s="119" t="s">
        <v>71</v>
      </c>
      <c r="G123" s="119"/>
      <c r="H123" s="63"/>
      <c r="I123" s="63"/>
      <c r="J123" s="79"/>
      <c r="K123" s="63" t="s">
        <v>80</v>
      </c>
      <c r="L123" s="63"/>
      <c r="M123" s="63"/>
      <c r="N123" s="119" t="s">
        <v>71</v>
      </c>
      <c r="O123" s="119"/>
      <c r="P123" s="63"/>
      <c r="Q123" s="63"/>
      <c r="R123" s="79"/>
      <c r="T123" s="2" t="s">
        <v>90</v>
      </c>
      <c r="U123" s="2" t="s">
        <v>91</v>
      </c>
      <c r="V123" s="1">
        <f>IF(N119&lt;&gt;"使用しない",R120,0)</f>
        <v>3</v>
      </c>
      <c r="W123" s="1">
        <f>IF(F123&lt;&gt;"使用しない",J124,0)</f>
        <v>22</v>
      </c>
      <c r="X123" s="1">
        <f>IF(N123&lt;&gt;"使用しない",R124,0)</f>
        <v>1</v>
      </c>
      <c r="Y123" s="1">
        <f>IF(AB119=0,"",MIN(MAX(SUM(V123:X123),0),99))</f>
        <v>26</v>
      </c>
      <c r="AA123" s="2" t="s">
        <v>101</v>
      </c>
      <c r="AB123" s="1">
        <f>ROUNDDOWN(AB121*2.5,0)</f>
        <v>500</v>
      </c>
    </row>
    <row r="124" spans="2:28" x14ac:dyDescent="0.15">
      <c r="B124" s="64"/>
      <c r="C124" s="66" t="s">
        <v>87</v>
      </c>
      <c r="D124" s="46">
        <v>0</v>
      </c>
      <c r="E124" s="66" t="s">
        <v>88</v>
      </c>
      <c r="F124" s="46">
        <v>0</v>
      </c>
      <c r="G124" s="66" t="s">
        <v>89</v>
      </c>
      <c r="H124" s="39">
        <v>0</v>
      </c>
      <c r="I124" s="66" t="s">
        <v>90</v>
      </c>
      <c r="J124" s="46">
        <v>22</v>
      </c>
      <c r="K124" s="66" t="s">
        <v>87</v>
      </c>
      <c r="L124" s="39">
        <v>3</v>
      </c>
      <c r="M124" s="66" t="s">
        <v>88</v>
      </c>
      <c r="N124" s="39">
        <v>3</v>
      </c>
      <c r="O124" s="66" t="s">
        <v>89</v>
      </c>
      <c r="P124" s="46">
        <v>3</v>
      </c>
      <c r="Q124" s="66" t="s">
        <v>90</v>
      </c>
      <c r="R124" s="46">
        <v>1</v>
      </c>
      <c r="T124" s="2" t="s">
        <v>92</v>
      </c>
      <c r="U124" s="1">
        <f>IF(F119&lt;&gt;"使用しない",D121,0)</f>
        <v>0</v>
      </c>
      <c r="V124" s="1">
        <f>IF(N119&lt;&gt;"使用しない",L121,0)</f>
        <v>0</v>
      </c>
      <c r="W124" s="1">
        <f>IF(F123&lt;&gt;"使用しない",D125,0)</f>
        <v>0</v>
      </c>
      <c r="X124" s="1">
        <f>IF(N123&lt;&gt;"使用しない",L125,0)</f>
        <v>0</v>
      </c>
      <c r="Y124" s="1">
        <f>IF(AB119=0,"",MIN(MAX(SUM(U124:X124)*5+20,20),99))</f>
        <v>20</v>
      </c>
    </row>
    <row r="125" spans="2:28" x14ac:dyDescent="0.15">
      <c r="B125" s="64"/>
      <c r="C125" s="66" t="s">
        <v>92</v>
      </c>
      <c r="D125" s="46">
        <v>0</v>
      </c>
      <c r="E125" s="66" t="s">
        <v>93</v>
      </c>
      <c r="F125" s="46">
        <v>0</v>
      </c>
      <c r="G125" s="66" t="s">
        <v>94</v>
      </c>
      <c r="H125" s="39">
        <v>0</v>
      </c>
      <c r="I125" s="66" t="s">
        <v>95</v>
      </c>
      <c r="J125" s="46">
        <v>0</v>
      </c>
      <c r="K125" s="66" t="s">
        <v>92</v>
      </c>
      <c r="L125" s="39">
        <v>0</v>
      </c>
      <c r="M125" s="66" t="s">
        <v>93</v>
      </c>
      <c r="N125" s="39">
        <v>0</v>
      </c>
      <c r="O125" s="66" t="s">
        <v>94</v>
      </c>
      <c r="P125" s="46">
        <v>0</v>
      </c>
      <c r="Q125" s="66" t="s">
        <v>95</v>
      </c>
      <c r="R125" s="46">
        <v>0</v>
      </c>
      <c r="T125" s="2" t="s">
        <v>93</v>
      </c>
      <c r="U125" s="1">
        <f>IF(F119&lt;&gt;"使用しない",F121,0)</f>
        <v>1</v>
      </c>
      <c r="V125" s="1">
        <f>IF(N119&lt;&gt;"使用しない",N121,0)</f>
        <v>0</v>
      </c>
      <c r="W125" s="1">
        <f>IF(F123&lt;&gt;"使用しない",F125,0)</f>
        <v>0</v>
      </c>
      <c r="X125" s="1">
        <f>IF(N123&lt;&gt;"使用しない",N125,0)</f>
        <v>0</v>
      </c>
      <c r="Y125" s="1">
        <f>IF(AB119=0,"",MIN(MAX(SUM(U125:X125)*5+20,20),99))</f>
        <v>25</v>
      </c>
      <c r="AA125" s="2" t="s">
        <v>102</v>
      </c>
      <c r="AB125" s="1">
        <f>IF(AB119=0,"",MIN(MAX(AB123,50),999))</f>
        <v>500</v>
      </c>
    </row>
    <row r="126" spans="2:28" x14ac:dyDescent="0.15">
      <c r="B126" s="64"/>
      <c r="C126" s="66" t="s">
        <v>97</v>
      </c>
      <c r="D126" s="46">
        <v>0</v>
      </c>
      <c r="E126" s="66" t="s">
        <v>98</v>
      </c>
      <c r="F126" s="46">
        <v>0</v>
      </c>
      <c r="G126" s="66" t="s">
        <v>99</v>
      </c>
      <c r="H126" s="39">
        <v>0</v>
      </c>
      <c r="I126" s="66" t="s">
        <v>100</v>
      </c>
      <c r="J126" s="46">
        <v>0</v>
      </c>
      <c r="K126" s="66" t="s">
        <v>97</v>
      </c>
      <c r="L126" s="39">
        <v>0</v>
      </c>
      <c r="M126" s="66" t="s">
        <v>98</v>
      </c>
      <c r="N126" s="39">
        <v>0</v>
      </c>
      <c r="O126" s="66" t="s">
        <v>99</v>
      </c>
      <c r="P126" s="46">
        <v>0</v>
      </c>
      <c r="Q126" s="66" t="s">
        <v>100</v>
      </c>
      <c r="R126" s="46">
        <v>0</v>
      </c>
      <c r="T126" s="2" t="s">
        <v>94</v>
      </c>
      <c r="U126" s="1">
        <f>IF(F119&lt;&gt;"使用しない",H121,0)</f>
        <v>0</v>
      </c>
      <c r="V126" s="1">
        <f>IF(N119&lt;&gt;"使用しない",P121,0)</f>
        <v>0</v>
      </c>
      <c r="W126" s="1">
        <f>IF(F123&lt;&gt;"使用しない",H125,0)</f>
        <v>0</v>
      </c>
      <c r="X126" s="1">
        <f>IF(N123&lt;&gt;"使用しない",P125,0)</f>
        <v>0</v>
      </c>
      <c r="Y126" s="1">
        <f>IF(AB119=0,"",MIN(MAX(SUM(U126:X126)*5+20,20),99))</f>
        <v>20</v>
      </c>
    </row>
    <row r="127" spans="2:28" x14ac:dyDescent="0.15">
      <c r="B127" s="64"/>
      <c r="C127" s="65" t="s">
        <v>103</v>
      </c>
      <c r="D127" s="63"/>
      <c r="E127" s="63"/>
      <c r="F127" s="63"/>
      <c r="G127" s="63"/>
      <c r="H127" s="63"/>
      <c r="I127" s="63"/>
      <c r="J127" s="63"/>
      <c r="K127" s="63"/>
      <c r="L127" s="63"/>
      <c r="M127" s="63"/>
      <c r="N127" s="63"/>
      <c r="O127" s="63"/>
      <c r="P127" s="63"/>
      <c r="Q127" s="63"/>
      <c r="R127" s="79"/>
      <c r="T127" s="2" t="s">
        <v>95</v>
      </c>
      <c r="U127" s="1">
        <f>IF(F119&lt;&gt;"使用しない",J121,0)</f>
        <v>0</v>
      </c>
      <c r="V127" s="1">
        <f>IF(N119&lt;&gt;"使用しない",R121,0)</f>
        <v>0</v>
      </c>
      <c r="W127" s="1">
        <f>IF(F123&lt;&gt;"使用しない",J125,0)</f>
        <v>0</v>
      </c>
      <c r="X127" s="1">
        <f>IF(N123&lt;&gt;"使用しない",R125,0)</f>
        <v>0</v>
      </c>
      <c r="Y127" s="1">
        <f>IF(AB119=0,"",MIN(MAX(SUM(U127:X127)*5+20,20),99))</f>
        <v>20</v>
      </c>
      <c r="AA127" s="2" t="s">
        <v>104</v>
      </c>
      <c r="AB127" s="1">
        <f>(CEILING(SUM(V120:V123),1000)+CEILING(SUM(W120:W123),1000)+CEILING(SUM(X120:X123),1000))/1000</f>
        <v>3</v>
      </c>
    </row>
    <row r="128" spans="2:28" x14ac:dyDescent="0.15">
      <c r="B128" s="64"/>
      <c r="C128" s="120" t="s">
        <v>105</v>
      </c>
      <c r="D128" s="121"/>
      <c r="E128" s="70">
        <f>AB125</f>
        <v>500</v>
      </c>
      <c r="F128" s="71"/>
      <c r="G128" s="122" t="s">
        <v>106</v>
      </c>
      <c r="H128" s="123"/>
      <c r="I128" s="123"/>
      <c r="J128" s="124"/>
      <c r="K128" s="81" t="s">
        <v>92</v>
      </c>
      <c r="L128" s="72">
        <f>Y124</f>
        <v>20</v>
      </c>
      <c r="M128" s="81" t="s">
        <v>93</v>
      </c>
      <c r="N128" s="72">
        <f>Y125</f>
        <v>25</v>
      </c>
      <c r="O128" s="81" t="s">
        <v>94</v>
      </c>
      <c r="P128" s="71">
        <f>Y126</f>
        <v>20</v>
      </c>
      <c r="Q128" s="81" t="s">
        <v>95</v>
      </c>
      <c r="R128" s="71">
        <f>Y127</f>
        <v>20</v>
      </c>
      <c r="T128" s="2" t="s">
        <v>97</v>
      </c>
      <c r="U128" s="1">
        <f>IF(F119&lt;&gt;"使用しない",D122,0)</f>
        <v>-3</v>
      </c>
      <c r="V128" s="1">
        <f>IF(N119&lt;&gt;"使用しない",L122,0)</f>
        <v>0</v>
      </c>
      <c r="W128" s="1">
        <f>IF(F123&lt;&gt;"使用しない",D126,0)</f>
        <v>0</v>
      </c>
      <c r="X128" s="1">
        <f>IF(N123&lt;&gt;"使用しない",L126,0)</f>
        <v>0</v>
      </c>
      <c r="Y128" s="1">
        <f>IF(AB119=0,"",MIN(MAX(SUM(U128:X128)*5+20,20),99))</f>
        <v>20</v>
      </c>
    </row>
    <row r="129" spans="2:28" x14ac:dyDescent="0.15">
      <c r="B129" s="64"/>
      <c r="C129" s="120" t="s">
        <v>107</v>
      </c>
      <c r="D129" s="121"/>
      <c r="E129" s="125" t="str">
        <f>W118</f>
        <v>チェーンソー</v>
      </c>
      <c r="F129" s="126"/>
      <c r="G129" s="74"/>
      <c r="H129" s="127" t="str">
        <f>AB131</f>
        <v>6×6</v>
      </c>
      <c r="I129" s="127"/>
      <c r="J129" s="128"/>
      <c r="K129" s="81" t="s">
        <v>97</v>
      </c>
      <c r="L129" s="72">
        <f>Y128</f>
        <v>20</v>
      </c>
      <c r="M129" s="81" t="s">
        <v>98</v>
      </c>
      <c r="N129" s="72">
        <f>Y129</f>
        <v>35</v>
      </c>
      <c r="O129" s="81" t="s">
        <v>99</v>
      </c>
      <c r="P129" s="71">
        <f>Y130</f>
        <v>20</v>
      </c>
      <c r="Q129" s="81" t="s">
        <v>100</v>
      </c>
      <c r="R129" s="71">
        <f>Y131</f>
        <v>20</v>
      </c>
      <c r="T129" s="2" t="s">
        <v>98</v>
      </c>
      <c r="U129" s="1">
        <f>IF(F119&lt;&gt;"使用しない",F122,0)</f>
        <v>3</v>
      </c>
      <c r="V129" s="1">
        <f>IF(N119&lt;&gt;"使用しない",N122,0)</f>
        <v>0</v>
      </c>
      <c r="W129" s="1">
        <f>IF(F123&lt;&gt;"使用しない",F126,0)</f>
        <v>0</v>
      </c>
      <c r="X129" s="1">
        <f>IF(N123&lt;&gt;"使用しない",N126,0)</f>
        <v>0</v>
      </c>
      <c r="Y129" s="1">
        <f>IF(AB119=0,"",MIN(MAX(SUM(U129:X129)*5+20,20),99))</f>
        <v>35</v>
      </c>
      <c r="AA129" s="2" t="s">
        <v>108</v>
      </c>
      <c r="AB129" s="2" t="str">
        <f>IF(AB119=0,"",INDEX(ボディマスタ!$F$5:$F$8,MATCH(AB127,ボディマスタ!$E$5:$E$8,0),)&amp;"%")</f>
        <v>15%</v>
      </c>
    </row>
    <row r="130" spans="2:28" x14ac:dyDescent="0.15">
      <c r="B130" s="64"/>
      <c r="C130" s="120" t="s">
        <v>108</v>
      </c>
      <c r="D130" s="121"/>
      <c r="E130" s="75" t="str">
        <f>AB129</f>
        <v>15%</v>
      </c>
      <c r="F130" s="71"/>
      <c r="G130" s="76"/>
      <c r="H130" s="76"/>
      <c r="I130" s="76"/>
      <c r="J130" s="76"/>
      <c r="K130" s="81" t="s">
        <v>76</v>
      </c>
      <c r="L130" s="82"/>
      <c r="M130" s="73">
        <f>U118</f>
        <v>93</v>
      </c>
      <c r="N130" s="68"/>
      <c r="O130" s="69"/>
      <c r="P130" s="69"/>
      <c r="Q130" s="69"/>
      <c r="R130" s="80"/>
      <c r="T130" s="2" t="s">
        <v>99</v>
      </c>
      <c r="U130" s="1">
        <f>IF(F119&lt;&gt;"使用しない",H122,0)</f>
        <v>0</v>
      </c>
      <c r="V130" s="1">
        <f>IF(N119&lt;&gt;"使用しない",P122,0)</f>
        <v>0</v>
      </c>
      <c r="W130" s="1">
        <f>IF(F123&lt;&gt;"使用しない",H126,0)</f>
        <v>0</v>
      </c>
      <c r="X130" s="1">
        <f>IF(N123&lt;&gt;"使用しない",P126,0)</f>
        <v>0</v>
      </c>
      <c r="Y130" s="1">
        <f>IF(AB119=0,"",MIN(MAX(SUM(U130:X130)*5+20,20),99))</f>
        <v>20</v>
      </c>
    </row>
    <row r="131" spans="2:28" x14ac:dyDescent="0.15">
      <c r="B131" s="77"/>
      <c r="C131" s="77"/>
      <c r="D131" s="78"/>
      <c r="E131" s="78"/>
      <c r="F131" s="78"/>
      <c r="G131" s="78"/>
      <c r="H131" s="78"/>
      <c r="I131" s="78"/>
      <c r="J131" s="78"/>
      <c r="K131" s="81" t="s">
        <v>87</v>
      </c>
      <c r="L131" s="72">
        <f>Y120</f>
        <v>27</v>
      </c>
      <c r="M131" s="81" t="s">
        <v>88</v>
      </c>
      <c r="N131" s="72">
        <f>Y121</f>
        <v>27</v>
      </c>
      <c r="O131" s="81" t="s">
        <v>89</v>
      </c>
      <c r="P131" s="71">
        <f>Y122</f>
        <v>27</v>
      </c>
      <c r="Q131" s="81" t="s">
        <v>90</v>
      </c>
      <c r="R131" s="71">
        <f>Y123</f>
        <v>26</v>
      </c>
      <c r="T131" s="2" t="s">
        <v>100</v>
      </c>
      <c r="U131" s="1">
        <f>IF(F119&lt;&gt;"使用しない",J122,0)</f>
        <v>0</v>
      </c>
      <c r="V131" s="1">
        <f>IF(N119&lt;&gt;"使用しない",R122,0)</f>
        <v>0</v>
      </c>
      <c r="W131" s="1">
        <f>IF(F123&lt;&gt;"使用しない",J126,0)</f>
        <v>0</v>
      </c>
      <c r="X131" s="1">
        <f>IF(N123&lt;&gt;"使用しない",R126,0)</f>
        <v>0</v>
      </c>
      <c r="Y131" s="1">
        <f>IF(AB119=0,"",MIN(MAX(SUM(U131:X131)*5+20,20),99))</f>
        <v>20</v>
      </c>
      <c r="AA131" s="2" t="s">
        <v>109</v>
      </c>
      <c r="AB131" s="2" t="str">
        <f>IF(AB119=0,"",INDEX(ボディマスタ!$G$5:$G$8,MATCH(AB127,ボディマスタ!$E$5:$E$8,0),))</f>
        <v>6×6</v>
      </c>
    </row>
    <row r="133" spans="2:28" x14ac:dyDescent="0.15">
      <c r="B133" s="62" t="s">
        <v>75</v>
      </c>
      <c r="C133" s="63"/>
      <c r="D133" s="63"/>
      <c r="E133" s="63"/>
      <c r="F133" s="63"/>
      <c r="G133" s="63"/>
      <c r="H133" s="63"/>
      <c r="I133" s="63"/>
      <c r="J133" s="63"/>
      <c r="K133" s="63"/>
      <c r="L133" s="63"/>
      <c r="M133" s="63"/>
      <c r="N133" s="63"/>
      <c r="O133" s="63"/>
      <c r="P133" s="63"/>
      <c r="Q133" s="63"/>
      <c r="R133" s="79"/>
      <c r="T133" s="2" t="s">
        <v>76</v>
      </c>
      <c r="U133" s="1">
        <f>IF(AB134=0,"",IF(F134&lt;&gt;"使用しない",MIN(MAX(E135,10),200),10))</f>
        <v>56</v>
      </c>
      <c r="V133" s="2" t="s">
        <v>77</v>
      </c>
      <c r="W133" s="2" t="str">
        <f>IF(AB134=0,"",INDEX(ボディマスタ!$C$5:$C$16,MATCH(F134,ボディマスタ!$B$5:$B$16,0),))</f>
        <v>スピア</v>
      </c>
    </row>
    <row r="134" spans="2:28" x14ac:dyDescent="0.15">
      <c r="B134" s="64"/>
      <c r="C134" s="65" t="s">
        <v>78</v>
      </c>
      <c r="D134" s="63"/>
      <c r="E134" s="63"/>
      <c r="F134" s="119" t="s">
        <v>137</v>
      </c>
      <c r="G134" s="119"/>
      <c r="H134" s="63"/>
      <c r="I134" s="63"/>
      <c r="J134" s="79"/>
      <c r="K134" s="63" t="s">
        <v>80</v>
      </c>
      <c r="L134" s="63"/>
      <c r="M134" s="63"/>
      <c r="N134" s="119" t="s">
        <v>71</v>
      </c>
      <c r="O134" s="119"/>
      <c r="P134" s="63"/>
      <c r="Q134" s="63"/>
      <c r="R134" s="79"/>
      <c r="U134" s="2" t="s">
        <v>81</v>
      </c>
      <c r="V134" s="2" t="s">
        <v>82</v>
      </c>
      <c r="W134" s="2" t="s">
        <v>83</v>
      </c>
      <c r="X134" s="2" t="s">
        <v>84</v>
      </c>
      <c r="Y134" s="2" t="s">
        <v>85</v>
      </c>
      <c r="AA134" s="2" t="s">
        <v>86</v>
      </c>
      <c r="AB134" s="1">
        <f>IF(AND(F134="使用しない",SUM(V135:X138)=0),0,1)</f>
        <v>1</v>
      </c>
    </row>
    <row r="135" spans="2:28" x14ac:dyDescent="0.15">
      <c r="B135" s="64"/>
      <c r="C135" s="66" t="s">
        <v>76</v>
      </c>
      <c r="D135" s="67"/>
      <c r="E135" s="46">
        <v>56</v>
      </c>
      <c r="F135" s="68"/>
      <c r="G135" s="69"/>
      <c r="H135" s="69"/>
      <c r="I135" s="69"/>
      <c r="J135" s="80"/>
      <c r="K135" s="66" t="s">
        <v>87</v>
      </c>
      <c r="L135" s="39">
        <v>9</v>
      </c>
      <c r="M135" s="66" t="s">
        <v>88</v>
      </c>
      <c r="N135" s="39">
        <v>12</v>
      </c>
      <c r="O135" s="66" t="s">
        <v>89</v>
      </c>
      <c r="P135" s="46">
        <v>12</v>
      </c>
      <c r="Q135" s="66" t="s">
        <v>90</v>
      </c>
      <c r="R135" s="46">
        <v>1</v>
      </c>
      <c r="T135" s="2" t="s">
        <v>87</v>
      </c>
      <c r="U135" s="2" t="s">
        <v>91</v>
      </c>
      <c r="V135" s="1">
        <f>IF(N134&lt;&gt;"使用しない",L135,0)</f>
        <v>9</v>
      </c>
      <c r="W135" s="1">
        <f>IF(F138&lt;&gt;"使用しない",D139,0)</f>
        <v>9</v>
      </c>
      <c r="X135" s="1">
        <f>IF(N138&lt;&gt;"使用しない",L139,0)</f>
        <v>9</v>
      </c>
      <c r="Y135" s="1">
        <f>IF(AB134=0,"",MIN(MAX(SUM(V135:X135),0),99))</f>
        <v>27</v>
      </c>
    </row>
    <row r="136" spans="2:28" x14ac:dyDescent="0.15">
      <c r="B136" s="64"/>
      <c r="C136" s="66" t="s">
        <v>92</v>
      </c>
      <c r="D136" s="46">
        <v>0</v>
      </c>
      <c r="E136" s="66" t="s">
        <v>93</v>
      </c>
      <c r="F136" s="46">
        <v>0</v>
      </c>
      <c r="G136" s="66" t="s">
        <v>94</v>
      </c>
      <c r="H136" s="39">
        <v>0</v>
      </c>
      <c r="I136" s="66" t="s">
        <v>95</v>
      </c>
      <c r="J136" s="46">
        <v>0</v>
      </c>
      <c r="K136" s="66" t="s">
        <v>92</v>
      </c>
      <c r="L136" s="39">
        <v>0</v>
      </c>
      <c r="M136" s="66" t="s">
        <v>93</v>
      </c>
      <c r="N136" s="39">
        <v>0</v>
      </c>
      <c r="O136" s="66" t="s">
        <v>94</v>
      </c>
      <c r="P136" s="46">
        <v>0</v>
      </c>
      <c r="Q136" s="66" t="s">
        <v>95</v>
      </c>
      <c r="R136" s="46">
        <v>0</v>
      </c>
      <c r="T136" s="2" t="s">
        <v>88</v>
      </c>
      <c r="U136" s="2" t="s">
        <v>91</v>
      </c>
      <c r="V136" s="1">
        <f>IF(N134&lt;&gt;"使用しない",N135,0)</f>
        <v>12</v>
      </c>
      <c r="W136" s="1">
        <f>IF(F138&lt;&gt;"使用しない",F139,0)</f>
        <v>12</v>
      </c>
      <c r="X136" s="1">
        <f>IF(N138&lt;&gt;"使用しない",N139,0)</f>
        <v>12</v>
      </c>
      <c r="Y136" s="1">
        <f>IF(AB134=0,"",MIN(MAX(SUM(V136:X136),0),99))</f>
        <v>36</v>
      </c>
      <c r="AA136" s="2" t="s">
        <v>96</v>
      </c>
      <c r="AB136" s="1">
        <f>IF(W133="ノーマル",0,U133)+SUM(V135:X138)</f>
        <v>158</v>
      </c>
    </row>
    <row r="137" spans="2:28" x14ac:dyDescent="0.15">
      <c r="B137" s="64"/>
      <c r="C137" s="66" t="s">
        <v>97</v>
      </c>
      <c r="D137" s="46">
        <v>0</v>
      </c>
      <c r="E137" s="66" t="s">
        <v>98</v>
      </c>
      <c r="F137" s="46">
        <v>0</v>
      </c>
      <c r="G137" s="66" t="s">
        <v>99</v>
      </c>
      <c r="H137" s="39">
        <v>0</v>
      </c>
      <c r="I137" s="66" t="s">
        <v>100</v>
      </c>
      <c r="J137" s="46">
        <v>0</v>
      </c>
      <c r="K137" s="66" t="s">
        <v>97</v>
      </c>
      <c r="L137" s="39">
        <v>0</v>
      </c>
      <c r="M137" s="66" t="s">
        <v>98</v>
      </c>
      <c r="N137" s="39">
        <v>0</v>
      </c>
      <c r="O137" s="66" t="s">
        <v>99</v>
      </c>
      <c r="P137" s="46">
        <v>0</v>
      </c>
      <c r="Q137" s="66" t="s">
        <v>100</v>
      </c>
      <c r="R137" s="46">
        <v>0</v>
      </c>
      <c r="T137" s="2" t="s">
        <v>89</v>
      </c>
      <c r="U137" s="2" t="s">
        <v>91</v>
      </c>
      <c r="V137" s="1">
        <f>IF(N134&lt;&gt;"使用しない",P135,0)</f>
        <v>12</v>
      </c>
      <c r="W137" s="1">
        <f>IF(F138&lt;&gt;"使用しない",H139,0)</f>
        <v>12</v>
      </c>
      <c r="X137" s="1">
        <f>IF(N138&lt;&gt;"使用しない",P139,0)</f>
        <v>12</v>
      </c>
      <c r="Y137" s="1">
        <f>IF(AB134=0,"",MIN(MAX(SUM(V137:X137),0),99))</f>
        <v>36</v>
      </c>
    </row>
    <row r="138" spans="2:28" x14ac:dyDescent="0.15">
      <c r="B138" s="64"/>
      <c r="C138" s="65" t="s">
        <v>80</v>
      </c>
      <c r="D138" s="63"/>
      <c r="E138" s="63"/>
      <c r="F138" s="119" t="s">
        <v>71</v>
      </c>
      <c r="G138" s="119"/>
      <c r="H138" s="63"/>
      <c r="I138" s="63"/>
      <c r="J138" s="79"/>
      <c r="K138" s="63" t="s">
        <v>80</v>
      </c>
      <c r="L138" s="63"/>
      <c r="M138" s="63"/>
      <c r="N138" s="119" t="s">
        <v>71</v>
      </c>
      <c r="O138" s="119"/>
      <c r="P138" s="63"/>
      <c r="Q138" s="63"/>
      <c r="R138" s="79"/>
      <c r="T138" s="2" t="s">
        <v>90</v>
      </c>
      <c r="U138" s="2" t="s">
        <v>91</v>
      </c>
      <c r="V138" s="1">
        <f>IF(N134&lt;&gt;"使用しない",R135,0)</f>
        <v>1</v>
      </c>
      <c r="W138" s="1">
        <f>IF(F138&lt;&gt;"使用しない",J139,0)</f>
        <v>1</v>
      </c>
      <c r="X138" s="1">
        <f>IF(N138&lt;&gt;"使用しない",R139,0)</f>
        <v>1</v>
      </c>
      <c r="Y138" s="1">
        <f>IF(AB134=0,"",MIN(MAX(SUM(V138:X138),0),99))</f>
        <v>3</v>
      </c>
      <c r="AA138" s="2" t="s">
        <v>101</v>
      </c>
      <c r="AB138" s="1">
        <f>ROUNDDOWN(AB136*2.5,0)</f>
        <v>395</v>
      </c>
    </row>
    <row r="139" spans="2:28" x14ac:dyDescent="0.15">
      <c r="B139" s="64"/>
      <c r="C139" s="66" t="s">
        <v>87</v>
      </c>
      <c r="D139" s="46">
        <v>9</v>
      </c>
      <c r="E139" s="66" t="s">
        <v>88</v>
      </c>
      <c r="F139" s="46">
        <v>12</v>
      </c>
      <c r="G139" s="66" t="s">
        <v>89</v>
      </c>
      <c r="H139" s="39">
        <v>12</v>
      </c>
      <c r="I139" s="66" t="s">
        <v>90</v>
      </c>
      <c r="J139" s="46">
        <v>1</v>
      </c>
      <c r="K139" s="66" t="s">
        <v>87</v>
      </c>
      <c r="L139" s="39">
        <v>9</v>
      </c>
      <c r="M139" s="66" t="s">
        <v>88</v>
      </c>
      <c r="N139" s="39">
        <v>12</v>
      </c>
      <c r="O139" s="66" t="s">
        <v>89</v>
      </c>
      <c r="P139" s="46">
        <v>12</v>
      </c>
      <c r="Q139" s="66" t="s">
        <v>90</v>
      </c>
      <c r="R139" s="46">
        <v>1</v>
      </c>
      <c r="T139" s="2" t="s">
        <v>92</v>
      </c>
      <c r="U139" s="1">
        <f>IF(F134&lt;&gt;"使用しない",D136,0)</f>
        <v>0</v>
      </c>
      <c r="V139" s="1">
        <f>IF(N134&lt;&gt;"使用しない",L136,0)</f>
        <v>0</v>
      </c>
      <c r="W139" s="1">
        <f>IF(F138&lt;&gt;"使用しない",D140,0)</f>
        <v>0</v>
      </c>
      <c r="X139" s="1">
        <f>IF(N138&lt;&gt;"使用しない",L140,0)</f>
        <v>0</v>
      </c>
      <c r="Y139" s="1">
        <f>IF(AB134=0,"",MIN(MAX(SUM(U139:X139)*5+20,20),99))</f>
        <v>20</v>
      </c>
    </row>
    <row r="140" spans="2:28" x14ac:dyDescent="0.15">
      <c r="B140" s="64"/>
      <c r="C140" s="66" t="s">
        <v>92</v>
      </c>
      <c r="D140" s="46">
        <v>0</v>
      </c>
      <c r="E140" s="66" t="s">
        <v>93</v>
      </c>
      <c r="F140" s="46">
        <v>0</v>
      </c>
      <c r="G140" s="66" t="s">
        <v>94</v>
      </c>
      <c r="H140" s="39">
        <v>0</v>
      </c>
      <c r="I140" s="66" t="s">
        <v>95</v>
      </c>
      <c r="J140" s="46">
        <v>0</v>
      </c>
      <c r="K140" s="66" t="s">
        <v>92</v>
      </c>
      <c r="L140" s="39">
        <v>0</v>
      </c>
      <c r="M140" s="66" t="s">
        <v>93</v>
      </c>
      <c r="N140" s="39">
        <v>0</v>
      </c>
      <c r="O140" s="66" t="s">
        <v>94</v>
      </c>
      <c r="P140" s="46">
        <v>0</v>
      </c>
      <c r="Q140" s="66" t="s">
        <v>95</v>
      </c>
      <c r="R140" s="46">
        <v>0</v>
      </c>
      <c r="T140" s="2" t="s">
        <v>93</v>
      </c>
      <c r="U140" s="1">
        <f>IF(F134&lt;&gt;"使用しない",F136,0)</f>
        <v>0</v>
      </c>
      <c r="V140" s="1">
        <f>IF(N134&lt;&gt;"使用しない",N136,0)</f>
        <v>0</v>
      </c>
      <c r="W140" s="1">
        <f>IF(F138&lt;&gt;"使用しない",F140,0)</f>
        <v>0</v>
      </c>
      <c r="X140" s="1">
        <f>IF(N138&lt;&gt;"使用しない",N140,0)</f>
        <v>0</v>
      </c>
      <c r="Y140" s="1">
        <f>IF(AB134=0,"",MIN(MAX(SUM(U140:X140)*5+20,20),99))</f>
        <v>20</v>
      </c>
      <c r="AA140" s="2" t="s">
        <v>102</v>
      </c>
      <c r="AB140" s="1">
        <f>IF(AB134=0,"",MIN(MAX(AB138,50),999))</f>
        <v>395</v>
      </c>
    </row>
    <row r="141" spans="2:28" x14ac:dyDescent="0.15">
      <c r="B141" s="64"/>
      <c r="C141" s="66" t="s">
        <v>97</v>
      </c>
      <c r="D141" s="46">
        <v>0</v>
      </c>
      <c r="E141" s="66" t="s">
        <v>98</v>
      </c>
      <c r="F141" s="46">
        <v>0</v>
      </c>
      <c r="G141" s="66" t="s">
        <v>99</v>
      </c>
      <c r="H141" s="39">
        <v>0</v>
      </c>
      <c r="I141" s="66" t="s">
        <v>100</v>
      </c>
      <c r="J141" s="46">
        <v>0</v>
      </c>
      <c r="K141" s="66" t="s">
        <v>97</v>
      </c>
      <c r="L141" s="39">
        <v>0</v>
      </c>
      <c r="M141" s="66" t="s">
        <v>98</v>
      </c>
      <c r="N141" s="39">
        <v>0</v>
      </c>
      <c r="O141" s="66" t="s">
        <v>99</v>
      </c>
      <c r="P141" s="46">
        <v>0</v>
      </c>
      <c r="Q141" s="66" t="s">
        <v>100</v>
      </c>
      <c r="R141" s="46">
        <v>0</v>
      </c>
      <c r="T141" s="2" t="s">
        <v>94</v>
      </c>
      <c r="U141" s="1">
        <f>IF(F134&lt;&gt;"使用しない",H136,0)</f>
        <v>0</v>
      </c>
      <c r="V141" s="1">
        <f>IF(N134&lt;&gt;"使用しない",P136,0)</f>
        <v>0</v>
      </c>
      <c r="W141" s="1">
        <f>IF(F138&lt;&gt;"使用しない",H140,0)</f>
        <v>0</v>
      </c>
      <c r="X141" s="1">
        <f>IF(N138&lt;&gt;"使用しない",P140,0)</f>
        <v>0</v>
      </c>
      <c r="Y141" s="1">
        <f>IF(AB134=0,"",MIN(MAX(SUM(U141:X141)*5+20,20),99))</f>
        <v>20</v>
      </c>
    </row>
    <row r="142" spans="2:28" x14ac:dyDescent="0.15">
      <c r="B142" s="64"/>
      <c r="C142" s="65" t="s">
        <v>103</v>
      </c>
      <c r="D142" s="63"/>
      <c r="E142" s="63"/>
      <c r="F142" s="63"/>
      <c r="G142" s="63"/>
      <c r="H142" s="63"/>
      <c r="I142" s="63"/>
      <c r="J142" s="63"/>
      <c r="K142" s="63"/>
      <c r="L142" s="63"/>
      <c r="M142" s="63"/>
      <c r="N142" s="63"/>
      <c r="O142" s="63"/>
      <c r="P142" s="63"/>
      <c r="Q142" s="63"/>
      <c r="R142" s="79"/>
      <c r="T142" s="2" t="s">
        <v>95</v>
      </c>
      <c r="U142" s="1">
        <f>IF(F134&lt;&gt;"使用しない",J136,0)</f>
        <v>0</v>
      </c>
      <c r="V142" s="1">
        <f>IF(N134&lt;&gt;"使用しない",R136,0)</f>
        <v>0</v>
      </c>
      <c r="W142" s="1">
        <f>IF(F138&lt;&gt;"使用しない",J140,0)</f>
        <v>0</v>
      </c>
      <c r="X142" s="1">
        <f>IF(N138&lt;&gt;"使用しない",R140,0)</f>
        <v>0</v>
      </c>
      <c r="Y142" s="1">
        <f>IF(AB134=0,"",MIN(MAX(SUM(U142:X142)*5+20,20),99))</f>
        <v>20</v>
      </c>
      <c r="AA142" s="2" t="s">
        <v>104</v>
      </c>
      <c r="AB142" s="1">
        <f>(CEILING(SUM(V135:V138),1000)+CEILING(SUM(W135:W138),1000)+CEILING(SUM(X135:X138),1000))/1000</f>
        <v>3</v>
      </c>
    </row>
    <row r="143" spans="2:28" x14ac:dyDescent="0.15">
      <c r="B143" s="64"/>
      <c r="C143" s="120" t="s">
        <v>105</v>
      </c>
      <c r="D143" s="121"/>
      <c r="E143" s="70">
        <f>AB140</f>
        <v>395</v>
      </c>
      <c r="F143" s="71"/>
      <c r="G143" s="122" t="s">
        <v>106</v>
      </c>
      <c r="H143" s="123"/>
      <c r="I143" s="123"/>
      <c r="J143" s="124"/>
      <c r="K143" s="81" t="s">
        <v>92</v>
      </c>
      <c r="L143" s="72">
        <f>Y139</f>
        <v>20</v>
      </c>
      <c r="M143" s="81" t="s">
        <v>93</v>
      </c>
      <c r="N143" s="72">
        <f>Y140</f>
        <v>20</v>
      </c>
      <c r="O143" s="81" t="s">
        <v>94</v>
      </c>
      <c r="P143" s="71">
        <f>Y141</f>
        <v>20</v>
      </c>
      <c r="Q143" s="81" t="s">
        <v>95</v>
      </c>
      <c r="R143" s="71">
        <f>Y142</f>
        <v>20</v>
      </c>
      <c r="T143" s="2" t="s">
        <v>97</v>
      </c>
      <c r="U143" s="1">
        <f>IF(F134&lt;&gt;"使用しない",D137,0)</f>
        <v>0</v>
      </c>
      <c r="V143" s="1">
        <f>IF(N134&lt;&gt;"使用しない",L137,0)</f>
        <v>0</v>
      </c>
      <c r="W143" s="1">
        <f>IF(F138&lt;&gt;"使用しない",D141,0)</f>
        <v>0</v>
      </c>
      <c r="X143" s="1">
        <f>IF(N138&lt;&gt;"使用しない",L141,0)</f>
        <v>0</v>
      </c>
      <c r="Y143" s="1">
        <f>IF(AB134=0,"",MIN(MAX(SUM(U143:X143)*5+20,20),99))</f>
        <v>20</v>
      </c>
    </row>
    <row r="144" spans="2:28" x14ac:dyDescent="0.15">
      <c r="B144" s="64"/>
      <c r="C144" s="120" t="s">
        <v>107</v>
      </c>
      <c r="D144" s="121"/>
      <c r="E144" s="125" t="str">
        <f>W133</f>
        <v>スピア</v>
      </c>
      <c r="F144" s="126"/>
      <c r="G144" s="74"/>
      <c r="H144" s="127" t="str">
        <f>AB146</f>
        <v>6×6</v>
      </c>
      <c r="I144" s="127"/>
      <c r="J144" s="128"/>
      <c r="K144" s="81" t="s">
        <v>97</v>
      </c>
      <c r="L144" s="72">
        <f>Y143</f>
        <v>20</v>
      </c>
      <c r="M144" s="81" t="s">
        <v>98</v>
      </c>
      <c r="N144" s="72">
        <f>Y144</f>
        <v>20</v>
      </c>
      <c r="O144" s="81" t="s">
        <v>99</v>
      </c>
      <c r="P144" s="71">
        <f>Y145</f>
        <v>20</v>
      </c>
      <c r="Q144" s="81" t="s">
        <v>100</v>
      </c>
      <c r="R144" s="71">
        <f>Y146</f>
        <v>20</v>
      </c>
      <c r="T144" s="2" t="s">
        <v>98</v>
      </c>
      <c r="U144" s="1">
        <f>IF(F134&lt;&gt;"使用しない",F137,0)</f>
        <v>0</v>
      </c>
      <c r="V144" s="1">
        <f>IF(N134&lt;&gt;"使用しない",N137,0)</f>
        <v>0</v>
      </c>
      <c r="W144" s="1">
        <f>IF(F138&lt;&gt;"使用しない",F141,0)</f>
        <v>0</v>
      </c>
      <c r="X144" s="1">
        <f>IF(N138&lt;&gt;"使用しない",N141,0)</f>
        <v>0</v>
      </c>
      <c r="Y144" s="1">
        <f>IF(AB134=0,"",MIN(MAX(SUM(U144:X144)*5+20,20),99))</f>
        <v>20</v>
      </c>
      <c r="AA144" s="2" t="s">
        <v>108</v>
      </c>
      <c r="AB144" s="2" t="str">
        <f>IF(AB134=0,"",INDEX(ボディマスタ!$F$5:$F$8,MATCH(AB142,ボディマスタ!$E$5:$E$8,0),)&amp;"%")</f>
        <v>15%</v>
      </c>
    </row>
    <row r="145" spans="2:28" x14ac:dyDescent="0.15">
      <c r="B145" s="64"/>
      <c r="C145" s="120" t="s">
        <v>108</v>
      </c>
      <c r="D145" s="121"/>
      <c r="E145" s="75" t="str">
        <f>AB144</f>
        <v>15%</v>
      </c>
      <c r="F145" s="71"/>
      <c r="G145" s="76"/>
      <c r="H145" s="76"/>
      <c r="I145" s="76"/>
      <c r="J145" s="76"/>
      <c r="K145" s="81" t="s">
        <v>76</v>
      </c>
      <c r="L145" s="82"/>
      <c r="M145" s="73">
        <f>U133</f>
        <v>56</v>
      </c>
      <c r="N145" s="68"/>
      <c r="O145" s="69"/>
      <c r="P145" s="69"/>
      <c r="Q145" s="69"/>
      <c r="R145" s="80"/>
      <c r="T145" s="2" t="s">
        <v>99</v>
      </c>
      <c r="U145" s="1">
        <f>IF(F134&lt;&gt;"使用しない",H137,0)</f>
        <v>0</v>
      </c>
      <c r="V145" s="1">
        <f>IF(N134&lt;&gt;"使用しない",P137,0)</f>
        <v>0</v>
      </c>
      <c r="W145" s="1">
        <f>IF(F138&lt;&gt;"使用しない",H141,0)</f>
        <v>0</v>
      </c>
      <c r="X145" s="1">
        <f>IF(N138&lt;&gt;"使用しない",P141,0)</f>
        <v>0</v>
      </c>
      <c r="Y145" s="1">
        <f>IF(AB134=0,"",MIN(MAX(SUM(U145:X145)*5+20,20),99))</f>
        <v>20</v>
      </c>
    </row>
    <row r="146" spans="2:28" x14ac:dyDescent="0.15">
      <c r="B146" s="77"/>
      <c r="C146" s="77"/>
      <c r="D146" s="78"/>
      <c r="E146" s="78"/>
      <c r="F146" s="78"/>
      <c r="G146" s="78"/>
      <c r="H146" s="78"/>
      <c r="I146" s="78"/>
      <c r="J146" s="78"/>
      <c r="K146" s="81" t="s">
        <v>87</v>
      </c>
      <c r="L146" s="72">
        <f>Y135</f>
        <v>27</v>
      </c>
      <c r="M146" s="81" t="s">
        <v>88</v>
      </c>
      <c r="N146" s="72">
        <f>Y136</f>
        <v>36</v>
      </c>
      <c r="O146" s="81" t="s">
        <v>89</v>
      </c>
      <c r="P146" s="71">
        <f>Y137</f>
        <v>36</v>
      </c>
      <c r="Q146" s="81" t="s">
        <v>90</v>
      </c>
      <c r="R146" s="71">
        <f>Y138</f>
        <v>3</v>
      </c>
      <c r="T146" s="2" t="s">
        <v>100</v>
      </c>
      <c r="U146" s="1">
        <f>IF(F134&lt;&gt;"使用しない",J137,0)</f>
        <v>0</v>
      </c>
      <c r="V146" s="1">
        <f>IF(N134&lt;&gt;"使用しない",R137,0)</f>
        <v>0</v>
      </c>
      <c r="W146" s="1">
        <f>IF(F138&lt;&gt;"使用しない",J141,0)</f>
        <v>0</v>
      </c>
      <c r="X146" s="1">
        <f>IF(N138&lt;&gt;"使用しない",R141,0)</f>
        <v>0</v>
      </c>
      <c r="Y146" s="1">
        <f>IF(AB134=0,"",MIN(MAX(SUM(U146:X146)*5+20,20),99))</f>
        <v>20</v>
      </c>
      <c r="AA146" s="2" t="s">
        <v>109</v>
      </c>
      <c r="AB146" s="2" t="str">
        <f>IF(AB134=0,"",INDEX(ボディマスタ!$G$5:$G$8,MATCH(AB142,ボディマスタ!$E$5:$E$8,0),))</f>
        <v>6×6</v>
      </c>
    </row>
    <row r="148" spans="2:28" x14ac:dyDescent="0.15">
      <c r="B148" s="62" t="s">
        <v>75</v>
      </c>
      <c r="C148" s="63"/>
      <c r="D148" s="63"/>
      <c r="E148" s="63"/>
      <c r="F148" s="63"/>
      <c r="G148" s="63"/>
      <c r="H148" s="63"/>
      <c r="I148" s="63"/>
      <c r="J148" s="63"/>
      <c r="K148" s="63"/>
      <c r="L148" s="63"/>
      <c r="M148" s="63"/>
      <c r="N148" s="63"/>
      <c r="O148" s="63"/>
      <c r="P148" s="63"/>
      <c r="Q148" s="63"/>
      <c r="R148" s="79"/>
      <c r="T148" s="2" t="s">
        <v>76</v>
      </c>
      <c r="U148" s="1">
        <f>IF(AB149=0,"",IF(F149&lt;&gt;"使用しない",MIN(MAX(E150,10),200),10))</f>
        <v>200</v>
      </c>
      <c r="V148" s="2" t="s">
        <v>77</v>
      </c>
      <c r="W148" s="2" t="str">
        <f>IF(AB149=0,"",INDEX(ボディマスタ!$C$5:$C$16,MATCH(F149,ボディマスタ!$B$5:$B$16,0),))</f>
        <v>ハンマー</v>
      </c>
    </row>
    <row r="149" spans="2:28" x14ac:dyDescent="0.15">
      <c r="B149" s="64"/>
      <c r="C149" s="65" t="s">
        <v>78</v>
      </c>
      <c r="D149" s="63"/>
      <c r="E149" s="63"/>
      <c r="F149" s="119" t="s">
        <v>79</v>
      </c>
      <c r="G149" s="119"/>
      <c r="H149" s="63"/>
      <c r="I149" s="63"/>
      <c r="J149" s="79"/>
      <c r="K149" s="63" t="s">
        <v>80</v>
      </c>
      <c r="L149" s="63"/>
      <c r="M149" s="63"/>
      <c r="N149" s="119" t="s">
        <v>71</v>
      </c>
      <c r="O149" s="119"/>
      <c r="P149" s="63"/>
      <c r="Q149" s="63"/>
      <c r="R149" s="79"/>
      <c r="U149" s="2" t="s">
        <v>81</v>
      </c>
      <c r="V149" s="2" t="s">
        <v>82</v>
      </c>
      <c r="W149" s="2" t="s">
        <v>83</v>
      </c>
      <c r="X149" s="2" t="s">
        <v>84</v>
      </c>
      <c r="Y149" s="2" t="s">
        <v>85</v>
      </c>
      <c r="AA149" s="2" t="s">
        <v>86</v>
      </c>
      <c r="AB149" s="1">
        <f>IF(AND(F149="使用しない",SUM(V150:X153)=0),0,1)</f>
        <v>1</v>
      </c>
    </row>
    <row r="150" spans="2:28" x14ac:dyDescent="0.15">
      <c r="B150" s="64"/>
      <c r="C150" s="66" t="s">
        <v>76</v>
      </c>
      <c r="D150" s="67"/>
      <c r="E150" s="46">
        <v>350</v>
      </c>
      <c r="F150" s="68"/>
      <c r="G150" s="69"/>
      <c r="H150" s="69"/>
      <c r="I150" s="69"/>
      <c r="J150" s="80"/>
      <c r="K150" s="66" t="s">
        <v>87</v>
      </c>
      <c r="L150" s="39">
        <v>82</v>
      </c>
      <c r="M150" s="66" t="s">
        <v>88</v>
      </c>
      <c r="N150" s="39">
        <v>82</v>
      </c>
      <c r="O150" s="66" t="s">
        <v>89</v>
      </c>
      <c r="P150" s="46">
        <v>82</v>
      </c>
      <c r="Q150" s="66" t="s">
        <v>90</v>
      </c>
      <c r="R150" s="46">
        <v>12</v>
      </c>
      <c r="T150" s="2" t="s">
        <v>87</v>
      </c>
      <c r="U150" s="2" t="s">
        <v>91</v>
      </c>
      <c r="V150" s="1">
        <f>IF(N149&lt;&gt;"使用しない",L150,0)</f>
        <v>82</v>
      </c>
      <c r="W150" s="1">
        <f>IF(F153&lt;&gt;"使用しない",D154,0)</f>
        <v>0</v>
      </c>
      <c r="X150" s="1">
        <f>IF(N153&lt;&gt;"使用しない",L154,0)</f>
        <v>82</v>
      </c>
      <c r="Y150" s="1">
        <f>IF(AB149=0,"",MIN(MAX(SUM(V150:X150),0),99))</f>
        <v>99</v>
      </c>
    </row>
    <row r="151" spans="2:28" x14ac:dyDescent="0.15">
      <c r="B151" s="64"/>
      <c r="C151" s="66" t="s">
        <v>92</v>
      </c>
      <c r="D151" s="46">
        <v>10</v>
      </c>
      <c r="E151" s="66" t="s">
        <v>93</v>
      </c>
      <c r="F151" s="46">
        <v>10</v>
      </c>
      <c r="G151" s="66" t="s">
        <v>94</v>
      </c>
      <c r="H151" s="39">
        <v>10</v>
      </c>
      <c r="I151" s="66" t="s">
        <v>95</v>
      </c>
      <c r="J151" s="46">
        <v>10</v>
      </c>
      <c r="K151" s="66" t="s">
        <v>92</v>
      </c>
      <c r="L151" s="39">
        <v>0</v>
      </c>
      <c r="M151" s="66" t="s">
        <v>93</v>
      </c>
      <c r="N151" s="39">
        <v>0</v>
      </c>
      <c r="O151" s="66" t="s">
        <v>94</v>
      </c>
      <c r="P151" s="46">
        <v>0</v>
      </c>
      <c r="Q151" s="66" t="s">
        <v>95</v>
      </c>
      <c r="R151" s="46">
        <v>0</v>
      </c>
      <c r="T151" s="2" t="s">
        <v>88</v>
      </c>
      <c r="U151" s="2" t="s">
        <v>91</v>
      </c>
      <c r="V151" s="1">
        <f>IF(N149&lt;&gt;"使用しない",N150,0)</f>
        <v>82</v>
      </c>
      <c r="W151" s="1">
        <f>IF(F153&lt;&gt;"使用しない",F154,0)</f>
        <v>0</v>
      </c>
      <c r="X151" s="1">
        <f>IF(N153&lt;&gt;"使用しない",N154,0)</f>
        <v>82</v>
      </c>
      <c r="Y151" s="1">
        <f>IF(AB149=0,"",MIN(MAX(SUM(V151:X151),0),99))</f>
        <v>99</v>
      </c>
      <c r="AA151" s="2" t="s">
        <v>96</v>
      </c>
      <c r="AB151" s="1">
        <f>IF(W148="ノーマル",0,U148)+SUM(V150:X153)</f>
        <v>806</v>
      </c>
    </row>
    <row r="152" spans="2:28" x14ac:dyDescent="0.15">
      <c r="B152" s="64"/>
      <c r="C152" s="66" t="s">
        <v>97</v>
      </c>
      <c r="D152" s="46">
        <v>10</v>
      </c>
      <c r="E152" s="66" t="s">
        <v>98</v>
      </c>
      <c r="F152" s="46">
        <v>10</v>
      </c>
      <c r="G152" s="66" t="s">
        <v>99</v>
      </c>
      <c r="H152" s="39">
        <v>10</v>
      </c>
      <c r="I152" s="66" t="s">
        <v>100</v>
      </c>
      <c r="J152" s="46">
        <v>10</v>
      </c>
      <c r="K152" s="66" t="s">
        <v>97</v>
      </c>
      <c r="L152" s="39">
        <v>0</v>
      </c>
      <c r="M152" s="66" t="s">
        <v>98</v>
      </c>
      <c r="N152" s="39">
        <v>0</v>
      </c>
      <c r="O152" s="66" t="s">
        <v>99</v>
      </c>
      <c r="P152" s="46">
        <v>0</v>
      </c>
      <c r="Q152" s="66" t="s">
        <v>100</v>
      </c>
      <c r="R152" s="46">
        <v>0</v>
      </c>
      <c r="T152" s="2" t="s">
        <v>89</v>
      </c>
      <c r="U152" s="2" t="s">
        <v>91</v>
      </c>
      <c r="V152" s="1">
        <f>IF(N149&lt;&gt;"使用しない",P150,0)</f>
        <v>82</v>
      </c>
      <c r="W152" s="1">
        <f>IF(F153&lt;&gt;"使用しない",H154,0)</f>
        <v>0</v>
      </c>
      <c r="X152" s="1">
        <f>IF(N153&lt;&gt;"使用しない",P154,0)</f>
        <v>82</v>
      </c>
      <c r="Y152" s="1">
        <f>IF(AB149=0,"",MIN(MAX(SUM(V152:X152),0),99))</f>
        <v>99</v>
      </c>
    </row>
    <row r="153" spans="2:28" x14ac:dyDescent="0.15">
      <c r="B153" s="64"/>
      <c r="C153" s="65" t="s">
        <v>80</v>
      </c>
      <c r="D153" s="63"/>
      <c r="E153" s="63"/>
      <c r="F153" s="119" t="s">
        <v>71</v>
      </c>
      <c r="G153" s="119"/>
      <c r="H153" s="63"/>
      <c r="I153" s="63"/>
      <c r="J153" s="79"/>
      <c r="K153" s="63" t="s">
        <v>80</v>
      </c>
      <c r="L153" s="63"/>
      <c r="M153" s="63"/>
      <c r="N153" s="119" t="s">
        <v>71</v>
      </c>
      <c r="O153" s="119"/>
      <c r="P153" s="63"/>
      <c r="Q153" s="63"/>
      <c r="R153" s="79"/>
      <c r="T153" s="2" t="s">
        <v>90</v>
      </c>
      <c r="U153" s="2" t="s">
        <v>91</v>
      </c>
      <c r="V153" s="1">
        <f>IF(N149&lt;&gt;"使用しない",R150,0)</f>
        <v>12</v>
      </c>
      <c r="W153" s="1">
        <f>IF(F153&lt;&gt;"使用しない",J154,0)</f>
        <v>90</v>
      </c>
      <c r="X153" s="1">
        <f>IF(N153&lt;&gt;"使用しない",R154,0)</f>
        <v>12</v>
      </c>
      <c r="Y153" s="1">
        <f>IF(AB149=0,"",MIN(MAX(SUM(V153:X153),0),99))</f>
        <v>99</v>
      </c>
      <c r="AA153" s="2" t="s">
        <v>101</v>
      </c>
      <c r="AB153" s="1">
        <f>ROUNDDOWN(AB151*2.5,0)</f>
        <v>2015</v>
      </c>
    </row>
    <row r="154" spans="2:28" x14ac:dyDescent="0.15">
      <c r="B154" s="64"/>
      <c r="C154" s="66" t="s">
        <v>87</v>
      </c>
      <c r="D154" s="46">
        <v>0</v>
      </c>
      <c r="E154" s="66" t="s">
        <v>88</v>
      </c>
      <c r="F154" s="46">
        <v>0</v>
      </c>
      <c r="G154" s="66" t="s">
        <v>89</v>
      </c>
      <c r="H154" s="39">
        <v>0</v>
      </c>
      <c r="I154" s="66" t="s">
        <v>90</v>
      </c>
      <c r="J154" s="46">
        <v>90</v>
      </c>
      <c r="K154" s="66" t="s">
        <v>87</v>
      </c>
      <c r="L154" s="39">
        <v>82</v>
      </c>
      <c r="M154" s="66" t="s">
        <v>88</v>
      </c>
      <c r="N154" s="39">
        <v>82</v>
      </c>
      <c r="O154" s="66" t="s">
        <v>89</v>
      </c>
      <c r="P154" s="46">
        <v>82</v>
      </c>
      <c r="Q154" s="66" t="s">
        <v>90</v>
      </c>
      <c r="R154" s="46">
        <v>12</v>
      </c>
      <c r="T154" s="2" t="s">
        <v>92</v>
      </c>
      <c r="U154" s="1">
        <f>IF(F149&lt;&gt;"使用しない",D151,0)</f>
        <v>10</v>
      </c>
      <c r="V154" s="1">
        <f>IF(N149&lt;&gt;"使用しない",L151,0)</f>
        <v>0</v>
      </c>
      <c r="W154" s="1">
        <f>IF(F153&lt;&gt;"使用しない",D155,0)</f>
        <v>10</v>
      </c>
      <c r="X154" s="1">
        <f>IF(N153&lt;&gt;"使用しない",L155,0)</f>
        <v>0</v>
      </c>
      <c r="Y154" s="1">
        <f>IF(AB149=0,"",MIN(MAX(SUM(U154:X154)*5+20,20),99))</f>
        <v>99</v>
      </c>
    </row>
    <row r="155" spans="2:28" x14ac:dyDescent="0.15">
      <c r="B155" s="64"/>
      <c r="C155" s="66" t="s">
        <v>92</v>
      </c>
      <c r="D155" s="46">
        <v>10</v>
      </c>
      <c r="E155" s="66" t="s">
        <v>93</v>
      </c>
      <c r="F155" s="46">
        <v>10</v>
      </c>
      <c r="G155" s="66" t="s">
        <v>94</v>
      </c>
      <c r="H155" s="39">
        <v>10</v>
      </c>
      <c r="I155" s="66" t="s">
        <v>95</v>
      </c>
      <c r="J155" s="46">
        <v>10</v>
      </c>
      <c r="K155" s="66" t="s">
        <v>92</v>
      </c>
      <c r="L155" s="39">
        <v>0</v>
      </c>
      <c r="M155" s="66" t="s">
        <v>93</v>
      </c>
      <c r="N155" s="39">
        <v>0</v>
      </c>
      <c r="O155" s="66" t="s">
        <v>94</v>
      </c>
      <c r="P155" s="46">
        <v>0</v>
      </c>
      <c r="Q155" s="66" t="s">
        <v>95</v>
      </c>
      <c r="R155" s="46">
        <v>0</v>
      </c>
      <c r="T155" s="2" t="s">
        <v>93</v>
      </c>
      <c r="U155" s="1">
        <f>IF(F149&lt;&gt;"使用しない",F151,0)</f>
        <v>10</v>
      </c>
      <c r="V155" s="1">
        <f>IF(N149&lt;&gt;"使用しない",N151,0)</f>
        <v>0</v>
      </c>
      <c r="W155" s="1">
        <f>IF(F153&lt;&gt;"使用しない",F155,0)</f>
        <v>10</v>
      </c>
      <c r="X155" s="1">
        <f>IF(N153&lt;&gt;"使用しない",N155,0)</f>
        <v>0</v>
      </c>
      <c r="Y155" s="1">
        <f>IF(AB149=0,"",MIN(MAX(SUM(U155:X155)*5+20,20),99))</f>
        <v>99</v>
      </c>
      <c r="AA155" s="2" t="s">
        <v>102</v>
      </c>
      <c r="AB155" s="1">
        <f>IF(AB149=0,"",MIN(MAX(AB153,50),999))</f>
        <v>999</v>
      </c>
    </row>
    <row r="156" spans="2:28" x14ac:dyDescent="0.15">
      <c r="B156" s="64"/>
      <c r="C156" s="66" t="s">
        <v>97</v>
      </c>
      <c r="D156" s="46">
        <v>10</v>
      </c>
      <c r="E156" s="66" t="s">
        <v>98</v>
      </c>
      <c r="F156" s="46">
        <v>10</v>
      </c>
      <c r="G156" s="66" t="s">
        <v>99</v>
      </c>
      <c r="H156" s="39">
        <v>10</v>
      </c>
      <c r="I156" s="66" t="s">
        <v>100</v>
      </c>
      <c r="J156" s="46">
        <v>10</v>
      </c>
      <c r="K156" s="66" t="s">
        <v>97</v>
      </c>
      <c r="L156" s="39">
        <v>0</v>
      </c>
      <c r="M156" s="66" t="s">
        <v>98</v>
      </c>
      <c r="N156" s="39">
        <v>0</v>
      </c>
      <c r="O156" s="66" t="s">
        <v>99</v>
      </c>
      <c r="P156" s="46">
        <v>0</v>
      </c>
      <c r="Q156" s="66" t="s">
        <v>100</v>
      </c>
      <c r="R156" s="46">
        <v>0</v>
      </c>
      <c r="T156" s="2" t="s">
        <v>94</v>
      </c>
      <c r="U156" s="1">
        <f>IF(F149&lt;&gt;"使用しない",H151,0)</f>
        <v>10</v>
      </c>
      <c r="V156" s="1">
        <f>IF(N149&lt;&gt;"使用しない",P151,0)</f>
        <v>0</v>
      </c>
      <c r="W156" s="1">
        <f>IF(F153&lt;&gt;"使用しない",H155,0)</f>
        <v>10</v>
      </c>
      <c r="X156" s="1">
        <f>IF(N153&lt;&gt;"使用しない",P155,0)</f>
        <v>0</v>
      </c>
      <c r="Y156" s="1">
        <f>IF(AB149=0,"",MIN(MAX(SUM(U156:X156)*5+20,20),99))</f>
        <v>99</v>
      </c>
    </row>
    <row r="157" spans="2:28" x14ac:dyDescent="0.15">
      <c r="B157" s="64"/>
      <c r="C157" s="65" t="s">
        <v>103</v>
      </c>
      <c r="D157" s="63"/>
      <c r="E157" s="63"/>
      <c r="F157" s="63"/>
      <c r="G157" s="63"/>
      <c r="H157" s="63"/>
      <c r="I157" s="63"/>
      <c r="J157" s="63"/>
      <c r="K157" s="63"/>
      <c r="L157" s="63"/>
      <c r="M157" s="63"/>
      <c r="N157" s="63"/>
      <c r="O157" s="63"/>
      <c r="P157" s="63"/>
      <c r="Q157" s="63"/>
      <c r="R157" s="79"/>
      <c r="T157" s="2" t="s">
        <v>95</v>
      </c>
      <c r="U157" s="1">
        <f>IF(F149&lt;&gt;"使用しない",J151,0)</f>
        <v>10</v>
      </c>
      <c r="V157" s="1">
        <f>IF(N149&lt;&gt;"使用しない",R151,0)</f>
        <v>0</v>
      </c>
      <c r="W157" s="1">
        <f>IF(F153&lt;&gt;"使用しない",J155,0)</f>
        <v>10</v>
      </c>
      <c r="X157" s="1">
        <f>IF(N153&lt;&gt;"使用しない",R155,0)</f>
        <v>0</v>
      </c>
      <c r="Y157" s="1">
        <f>IF(AB149=0,"",MIN(MAX(SUM(U157:X157)*5+20,20),99))</f>
        <v>99</v>
      </c>
      <c r="AA157" s="2" t="s">
        <v>104</v>
      </c>
      <c r="AB157" s="1">
        <f>(CEILING(SUM(V150:V153),1000)+CEILING(SUM(W150:W153),1000)+CEILING(SUM(X150:X153),1000))/1000</f>
        <v>3</v>
      </c>
    </row>
    <row r="158" spans="2:28" x14ac:dyDescent="0.15">
      <c r="B158" s="64"/>
      <c r="C158" s="120" t="s">
        <v>105</v>
      </c>
      <c r="D158" s="121"/>
      <c r="E158" s="70">
        <f>AB155</f>
        <v>999</v>
      </c>
      <c r="F158" s="71"/>
      <c r="G158" s="122" t="s">
        <v>106</v>
      </c>
      <c r="H158" s="123"/>
      <c r="I158" s="123"/>
      <c r="J158" s="124"/>
      <c r="K158" s="81" t="s">
        <v>92</v>
      </c>
      <c r="L158" s="72">
        <f>Y154</f>
        <v>99</v>
      </c>
      <c r="M158" s="81" t="s">
        <v>93</v>
      </c>
      <c r="N158" s="72">
        <f>Y155</f>
        <v>99</v>
      </c>
      <c r="O158" s="81" t="s">
        <v>94</v>
      </c>
      <c r="P158" s="71">
        <f>Y156</f>
        <v>99</v>
      </c>
      <c r="Q158" s="81" t="s">
        <v>95</v>
      </c>
      <c r="R158" s="71">
        <f>Y157</f>
        <v>99</v>
      </c>
      <c r="T158" s="2" t="s">
        <v>97</v>
      </c>
      <c r="U158" s="1">
        <f>IF(F149&lt;&gt;"使用しない",D152,0)</f>
        <v>10</v>
      </c>
      <c r="V158" s="1">
        <f>IF(N149&lt;&gt;"使用しない",L152,0)</f>
        <v>0</v>
      </c>
      <c r="W158" s="1">
        <f>IF(F153&lt;&gt;"使用しない",D156,0)</f>
        <v>10</v>
      </c>
      <c r="X158" s="1">
        <f>IF(N153&lt;&gt;"使用しない",L156,0)</f>
        <v>0</v>
      </c>
      <c r="Y158" s="1">
        <f>IF(AB149=0,"",MIN(MAX(SUM(U158:X158)*5+20,20),99))</f>
        <v>99</v>
      </c>
    </row>
    <row r="159" spans="2:28" x14ac:dyDescent="0.15">
      <c r="B159" s="64"/>
      <c r="C159" s="120" t="s">
        <v>107</v>
      </c>
      <c r="D159" s="121"/>
      <c r="E159" s="125" t="str">
        <f>W148</f>
        <v>ハンマー</v>
      </c>
      <c r="F159" s="126"/>
      <c r="G159" s="74"/>
      <c r="H159" s="127" t="str">
        <f>AB161</f>
        <v>6×6</v>
      </c>
      <c r="I159" s="127"/>
      <c r="J159" s="128"/>
      <c r="K159" s="81" t="s">
        <v>97</v>
      </c>
      <c r="L159" s="72">
        <f>Y158</f>
        <v>99</v>
      </c>
      <c r="M159" s="81" t="s">
        <v>98</v>
      </c>
      <c r="N159" s="72">
        <f>Y159</f>
        <v>99</v>
      </c>
      <c r="O159" s="81" t="s">
        <v>99</v>
      </c>
      <c r="P159" s="71">
        <f>Y160</f>
        <v>99</v>
      </c>
      <c r="Q159" s="81" t="s">
        <v>100</v>
      </c>
      <c r="R159" s="71">
        <f>Y161</f>
        <v>99</v>
      </c>
      <c r="T159" s="2" t="s">
        <v>98</v>
      </c>
      <c r="U159" s="1">
        <f>IF(F149&lt;&gt;"使用しない",F152,0)</f>
        <v>10</v>
      </c>
      <c r="V159" s="1">
        <f>IF(N149&lt;&gt;"使用しない",N152,0)</f>
        <v>0</v>
      </c>
      <c r="W159" s="1">
        <f>IF(F153&lt;&gt;"使用しない",F156,0)</f>
        <v>10</v>
      </c>
      <c r="X159" s="1">
        <f>IF(N153&lt;&gt;"使用しない",N156,0)</f>
        <v>0</v>
      </c>
      <c r="Y159" s="1">
        <f>IF(AB149=0,"",MIN(MAX(SUM(U159:X159)*5+20,20),99))</f>
        <v>99</v>
      </c>
      <c r="AA159" s="2" t="s">
        <v>108</v>
      </c>
      <c r="AB159" s="2" t="str">
        <f>IF(AB149=0,"",INDEX(ボディマスタ!$F$5:$F$8,MATCH(AB157,ボディマスタ!$E$5:$E$8,0),)&amp;"%")</f>
        <v>15%</v>
      </c>
    </row>
    <row r="160" spans="2:28" x14ac:dyDescent="0.15">
      <c r="B160" s="64"/>
      <c r="C160" s="120" t="s">
        <v>108</v>
      </c>
      <c r="D160" s="121"/>
      <c r="E160" s="75" t="str">
        <f>AB159</f>
        <v>15%</v>
      </c>
      <c r="F160" s="71"/>
      <c r="G160" s="76"/>
      <c r="H160" s="76"/>
      <c r="I160" s="76"/>
      <c r="J160" s="76"/>
      <c r="K160" s="81" t="s">
        <v>76</v>
      </c>
      <c r="L160" s="82"/>
      <c r="M160" s="73">
        <f>U148</f>
        <v>200</v>
      </c>
      <c r="N160" s="68"/>
      <c r="O160" s="69"/>
      <c r="P160" s="69"/>
      <c r="Q160" s="69"/>
      <c r="R160" s="80"/>
      <c r="T160" s="2" t="s">
        <v>99</v>
      </c>
      <c r="U160" s="1">
        <f>IF(F149&lt;&gt;"使用しない",H152,0)</f>
        <v>10</v>
      </c>
      <c r="V160" s="1">
        <f>IF(N149&lt;&gt;"使用しない",P152,0)</f>
        <v>0</v>
      </c>
      <c r="W160" s="1">
        <f>IF(F153&lt;&gt;"使用しない",H156,0)</f>
        <v>10</v>
      </c>
      <c r="X160" s="1">
        <f>IF(N153&lt;&gt;"使用しない",P156,0)</f>
        <v>0</v>
      </c>
      <c r="Y160" s="1">
        <f>IF(AB149=0,"",MIN(MAX(SUM(U160:X160)*5+20,20),99))</f>
        <v>99</v>
      </c>
    </row>
    <row r="161" spans="2:28" x14ac:dyDescent="0.15">
      <c r="B161" s="77"/>
      <c r="C161" s="77"/>
      <c r="D161" s="78"/>
      <c r="E161" s="78"/>
      <c r="F161" s="78"/>
      <c r="G161" s="78"/>
      <c r="H161" s="78"/>
      <c r="I161" s="78"/>
      <c r="J161" s="78"/>
      <c r="K161" s="81" t="s">
        <v>87</v>
      </c>
      <c r="L161" s="72">
        <f>Y150</f>
        <v>99</v>
      </c>
      <c r="M161" s="81" t="s">
        <v>88</v>
      </c>
      <c r="N161" s="72">
        <f>Y151</f>
        <v>99</v>
      </c>
      <c r="O161" s="81" t="s">
        <v>89</v>
      </c>
      <c r="P161" s="71">
        <f>Y152</f>
        <v>99</v>
      </c>
      <c r="Q161" s="81" t="s">
        <v>90</v>
      </c>
      <c r="R161" s="71">
        <f>Y153</f>
        <v>99</v>
      </c>
      <c r="T161" s="2" t="s">
        <v>100</v>
      </c>
      <c r="U161" s="1">
        <f>IF(F149&lt;&gt;"使用しない",J152,0)</f>
        <v>10</v>
      </c>
      <c r="V161" s="1">
        <f>IF(N149&lt;&gt;"使用しない",R152,0)</f>
        <v>0</v>
      </c>
      <c r="W161" s="1">
        <f>IF(F153&lt;&gt;"使用しない",J156,0)</f>
        <v>10</v>
      </c>
      <c r="X161" s="1">
        <f>IF(N153&lt;&gt;"使用しない",R156,0)</f>
        <v>0</v>
      </c>
      <c r="Y161" s="1">
        <f>IF(AB149=0,"",MIN(MAX(SUM(U161:X161)*5+20,20),99))</f>
        <v>99</v>
      </c>
      <c r="AA161" s="2" t="s">
        <v>109</v>
      </c>
      <c r="AB161" s="2" t="str">
        <f>IF(AB149=0,"",INDEX(ボディマスタ!$G$5:$G$8,MATCH(AB157,ボディマスタ!$E$5:$E$8,0),))</f>
        <v>6×6</v>
      </c>
    </row>
    <row r="163" spans="2:28" x14ac:dyDescent="0.15">
      <c r="B163" s="62" t="s">
        <v>75</v>
      </c>
      <c r="C163" s="63"/>
      <c r="D163" s="63"/>
      <c r="E163" s="63"/>
      <c r="F163" s="63"/>
      <c r="G163" s="63"/>
      <c r="H163" s="63"/>
      <c r="I163" s="63"/>
      <c r="J163" s="63"/>
      <c r="K163" s="63"/>
      <c r="L163" s="63"/>
      <c r="M163" s="63"/>
      <c r="N163" s="63"/>
      <c r="O163" s="63"/>
      <c r="P163" s="63"/>
      <c r="Q163" s="63"/>
      <c r="R163" s="79"/>
      <c r="T163" s="2" t="s">
        <v>76</v>
      </c>
      <c r="U163" s="2" t="str">
        <f>IF(AB164=0,"",IF(F164&lt;&gt;"使用しない",MIN(MAX(E165,10),200),10))</f>
        <v/>
      </c>
      <c r="V163" s="2" t="s">
        <v>77</v>
      </c>
      <c r="W163" s="2" t="str">
        <f>IF(AB164=0,"",INDEX(ボディマスタ!$C$5:$C$16,MATCH(F164,ボディマスタ!$B$5:$B$16,0),))</f>
        <v/>
      </c>
    </row>
    <row r="164" spans="2:28" x14ac:dyDescent="0.15">
      <c r="B164" s="64"/>
      <c r="C164" s="65" t="s">
        <v>78</v>
      </c>
      <c r="D164" s="63"/>
      <c r="E164" s="63"/>
      <c r="F164" s="119" t="s">
        <v>69</v>
      </c>
      <c r="G164" s="119"/>
      <c r="H164" s="63"/>
      <c r="I164" s="63"/>
      <c r="J164" s="79"/>
      <c r="K164" s="63" t="s">
        <v>80</v>
      </c>
      <c r="L164" s="63"/>
      <c r="M164" s="63"/>
      <c r="N164" s="119" t="s">
        <v>69</v>
      </c>
      <c r="O164" s="119"/>
      <c r="P164" s="63"/>
      <c r="Q164" s="63"/>
      <c r="R164" s="79"/>
      <c r="U164" s="2" t="s">
        <v>81</v>
      </c>
      <c r="V164" s="2" t="s">
        <v>82</v>
      </c>
      <c r="W164" s="2" t="s">
        <v>83</v>
      </c>
      <c r="X164" s="2" t="s">
        <v>84</v>
      </c>
      <c r="Y164" s="2" t="s">
        <v>85</v>
      </c>
      <c r="AA164" s="2" t="s">
        <v>86</v>
      </c>
      <c r="AB164" s="1">
        <f>IF(AND(F164="使用しない",SUM(V165:X168)=0),0,1)</f>
        <v>0</v>
      </c>
    </row>
    <row r="165" spans="2:28" x14ac:dyDescent="0.15">
      <c r="B165" s="64"/>
      <c r="C165" s="66" t="s">
        <v>76</v>
      </c>
      <c r="D165" s="67"/>
      <c r="E165" s="46">
        <v>0</v>
      </c>
      <c r="F165" s="68"/>
      <c r="G165" s="69"/>
      <c r="H165" s="69"/>
      <c r="I165" s="69"/>
      <c r="J165" s="80"/>
      <c r="K165" s="66" t="s">
        <v>87</v>
      </c>
      <c r="L165" s="46">
        <v>0</v>
      </c>
      <c r="M165" s="66" t="s">
        <v>88</v>
      </c>
      <c r="N165" s="46">
        <v>0</v>
      </c>
      <c r="O165" s="66" t="s">
        <v>89</v>
      </c>
      <c r="P165" s="46">
        <v>0</v>
      </c>
      <c r="Q165" s="66" t="s">
        <v>90</v>
      </c>
      <c r="R165" s="46">
        <v>0</v>
      </c>
      <c r="T165" s="2" t="s">
        <v>87</v>
      </c>
      <c r="U165" s="2" t="s">
        <v>91</v>
      </c>
      <c r="V165" s="1">
        <f>IF(N164&lt;&gt;"使用しない",L165,0)</f>
        <v>0</v>
      </c>
      <c r="W165" s="1">
        <f>IF(F168&lt;&gt;"使用しない",D169,0)</f>
        <v>0</v>
      </c>
      <c r="X165" s="1">
        <f>IF(N168&lt;&gt;"使用しない",L169,0)</f>
        <v>0</v>
      </c>
      <c r="Y165" s="2" t="str">
        <f>IF(AB164=0,"",MIN(MAX(SUM(V165:X165),0),99))</f>
        <v/>
      </c>
    </row>
    <row r="166" spans="2:28" x14ac:dyDescent="0.15">
      <c r="B166" s="64"/>
      <c r="C166" s="66" t="s">
        <v>92</v>
      </c>
      <c r="D166" s="46">
        <v>0</v>
      </c>
      <c r="E166" s="66" t="s">
        <v>93</v>
      </c>
      <c r="F166" s="46">
        <v>0</v>
      </c>
      <c r="G166" s="66" t="s">
        <v>94</v>
      </c>
      <c r="H166" s="46">
        <v>0</v>
      </c>
      <c r="I166" s="66" t="s">
        <v>95</v>
      </c>
      <c r="J166" s="46">
        <v>0</v>
      </c>
      <c r="K166" s="66" t="s">
        <v>92</v>
      </c>
      <c r="L166" s="39">
        <v>0</v>
      </c>
      <c r="M166" s="66" t="s">
        <v>93</v>
      </c>
      <c r="N166" s="39">
        <v>0</v>
      </c>
      <c r="O166" s="66" t="s">
        <v>94</v>
      </c>
      <c r="P166" s="46">
        <v>0</v>
      </c>
      <c r="Q166" s="66" t="s">
        <v>95</v>
      </c>
      <c r="R166" s="46">
        <v>0</v>
      </c>
      <c r="T166" s="2" t="s">
        <v>88</v>
      </c>
      <c r="U166" s="2" t="s">
        <v>91</v>
      </c>
      <c r="V166" s="1">
        <f>IF(N164&lt;&gt;"使用しない",N165,0)</f>
        <v>0</v>
      </c>
      <c r="W166" s="1">
        <f>IF(F168&lt;&gt;"使用しない",F169,0)</f>
        <v>0</v>
      </c>
      <c r="X166" s="1">
        <f>IF(N168&lt;&gt;"使用しない",N169,0)</f>
        <v>0</v>
      </c>
      <c r="Y166" s="2" t="str">
        <f>IF(AB164=0,"",MIN(MAX(SUM(V166:X166),0),99))</f>
        <v/>
      </c>
      <c r="AA166" s="2" t="s">
        <v>96</v>
      </c>
      <c r="AB166" s="1" t="e">
        <f>IF(W163="ノーマル",0,U163)+SUM(V165:X168)</f>
        <v>#VALUE!</v>
      </c>
    </row>
    <row r="167" spans="2:28" x14ac:dyDescent="0.15">
      <c r="B167" s="64"/>
      <c r="C167" s="66" t="s">
        <v>97</v>
      </c>
      <c r="D167" s="46">
        <v>0</v>
      </c>
      <c r="E167" s="66" t="s">
        <v>98</v>
      </c>
      <c r="F167" s="46">
        <v>0</v>
      </c>
      <c r="G167" s="66" t="s">
        <v>99</v>
      </c>
      <c r="H167" s="46">
        <v>0</v>
      </c>
      <c r="I167" s="66" t="s">
        <v>100</v>
      </c>
      <c r="J167" s="46">
        <v>0</v>
      </c>
      <c r="K167" s="66" t="s">
        <v>97</v>
      </c>
      <c r="L167" s="39">
        <v>0</v>
      </c>
      <c r="M167" s="66" t="s">
        <v>98</v>
      </c>
      <c r="N167" s="39">
        <v>0</v>
      </c>
      <c r="O167" s="66" t="s">
        <v>99</v>
      </c>
      <c r="P167" s="46">
        <v>0</v>
      </c>
      <c r="Q167" s="66" t="s">
        <v>100</v>
      </c>
      <c r="R167" s="46">
        <v>0</v>
      </c>
      <c r="T167" s="2" t="s">
        <v>89</v>
      </c>
      <c r="U167" s="2" t="s">
        <v>91</v>
      </c>
      <c r="V167" s="1">
        <f>IF(N164&lt;&gt;"使用しない",P165,0)</f>
        <v>0</v>
      </c>
      <c r="W167" s="1">
        <f>IF(F168&lt;&gt;"使用しない",H169,0)</f>
        <v>0</v>
      </c>
      <c r="X167" s="1">
        <f>IF(N168&lt;&gt;"使用しない",P169,0)</f>
        <v>0</v>
      </c>
      <c r="Y167" s="2" t="str">
        <f>IF(AB164=0,"",MIN(MAX(SUM(V167:X167),0),99))</f>
        <v/>
      </c>
    </row>
    <row r="168" spans="2:28" x14ac:dyDescent="0.15">
      <c r="B168" s="64"/>
      <c r="C168" s="65" t="s">
        <v>80</v>
      </c>
      <c r="D168" s="63"/>
      <c r="E168" s="63"/>
      <c r="F168" s="119" t="s">
        <v>69</v>
      </c>
      <c r="G168" s="119"/>
      <c r="H168" s="63"/>
      <c r="I168" s="63"/>
      <c r="J168" s="79"/>
      <c r="K168" s="63" t="s">
        <v>80</v>
      </c>
      <c r="L168" s="63"/>
      <c r="M168" s="63"/>
      <c r="N168" s="119" t="s">
        <v>69</v>
      </c>
      <c r="O168" s="119"/>
      <c r="P168" s="63"/>
      <c r="Q168" s="63"/>
      <c r="R168" s="79"/>
      <c r="T168" s="2" t="s">
        <v>90</v>
      </c>
      <c r="U168" s="2" t="s">
        <v>91</v>
      </c>
      <c r="V168" s="1">
        <f>IF(N164&lt;&gt;"使用しない",R165,0)</f>
        <v>0</v>
      </c>
      <c r="W168" s="1">
        <f>IF(F168&lt;&gt;"使用しない",J169,0)</f>
        <v>0</v>
      </c>
      <c r="X168" s="1">
        <f>IF(N168&lt;&gt;"使用しない",R169,0)</f>
        <v>0</v>
      </c>
      <c r="Y168" s="2" t="str">
        <f>IF(AB164=0,"",MIN(MAX(SUM(V168:X168),0),99))</f>
        <v/>
      </c>
      <c r="AA168" s="2" t="s">
        <v>101</v>
      </c>
      <c r="AB168" s="1" t="e">
        <f>ROUNDDOWN(AB166*2.5,0)</f>
        <v>#VALUE!</v>
      </c>
    </row>
    <row r="169" spans="2:28" x14ac:dyDescent="0.15">
      <c r="B169" s="64"/>
      <c r="C169" s="66" t="s">
        <v>87</v>
      </c>
      <c r="D169" s="46">
        <v>0</v>
      </c>
      <c r="E169" s="66" t="s">
        <v>88</v>
      </c>
      <c r="F169" s="46">
        <v>0</v>
      </c>
      <c r="G169" s="66" t="s">
        <v>89</v>
      </c>
      <c r="H169" s="46">
        <v>0</v>
      </c>
      <c r="I169" s="66" t="s">
        <v>90</v>
      </c>
      <c r="J169" s="46">
        <v>0</v>
      </c>
      <c r="K169" s="66" t="s">
        <v>87</v>
      </c>
      <c r="L169" s="46">
        <v>0</v>
      </c>
      <c r="M169" s="66" t="s">
        <v>88</v>
      </c>
      <c r="N169" s="46">
        <v>0</v>
      </c>
      <c r="O169" s="66" t="s">
        <v>89</v>
      </c>
      <c r="P169" s="46">
        <v>0</v>
      </c>
      <c r="Q169" s="66" t="s">
        <v>90</v>
      </c>
      <c r="R169" s="46">
        <v>0</v>
      </c>
      <c r="T169" s="2" t="s">
        <v>92</v>
      </c>
      <c r="U169" s="1">
        <f>IF(F164&lt;&gt;"使用しない",D166,0)</f>
        <v>0</v>
      </c>
      <c r="V169" s="1">
        <f>IF(N164&lt;&gt;"使用しない",L166,0)</f>
        <v>0</v>
      </c>
      <c r="W169" s="1">
        <f>IF(F168&lt;&gt;"使用しない",D170,0)</f>
        <v>0</v>
      </c>
      <c r="X169" s="1">
        <f>IF(N168&lt;&gt;"使用しない",L170,0)</f>
        <v>0</v>
      </c>
      <c r="Y169" s="2" t="str">
        <f>IF(AB164=0,"",MIN(MAX(SUM(U169:X169)*5+20,20),99))</f>
        <v/>
      </c>
    </row>
    <row r="170" spans="2:28" x14ac:dyDescent="0.15">
      <c r="B170" s="64"/>
      <c r="C170" s="66" t="s">
        <v>92</v>
      </c>
      <c r="D170" s="46">
        <v>0</v>
      </c>
      <c r="E170" s="66" t="s">
        <v>93</v>
      </c>
      <c r="F170" s="46">
        <v>0</v>
      </c>
      <c r="G170" s="66" t="s">
        <v>94</v>
      </c>
      <c r="H170" s="46">
        <v>0</v>
      </c>
      <c r="I170" s="66" t="s">
        <v>95</v>
      </c>
      <c r="J170" s="46">
        <v>0</v>
      </c>
      <c r="K170" s="66" t="s">
        <v>92</v>
      </c>
      <c r="L170" s="39">
        <v>0</v>
      </c>
      <c r="M170" s="66" t="s">
        <v>93</v>
      </c>
      <c r="N170" s="39">
        <v>0</v>
      </c>
      <c r="O170" s="66" t="s">
        <v>94</v>
      </c>
      <c r="P170" s="46">
        <v>0</v>
      </c>
      <c r="Q170" s="66" t="s">
        <v>95</v>
      </c>
      <c r="R170" s="46">
        <v>0</v>
      </c>
      <c r="T170" s="2" t="s">
        <v>93</v>
      </c>
      <c r="U170" s="1">
        <f>IF(F164&lt;&gt;"使用しない",F166,0)</f>
        <v>0</v>
      </c>
      <c r="V170" s="1">
        <f>IF(N164&lt;&gt;"使用しない",N166,0)</f>
        <v>0</v>
      </c>
      <c r="W170" s="1">
        <f>IF(F168&lt;&gt;"使用しない",F170,0)</f>
        <v>0</v>
      </c>
      <c r="X170" s="1">
        <f>IF(N168&lt;&gt;"使用しない",N170,0)</f>
        <v>0</v>
      </c>
      <c r="Y170" s="2" t="str">
        <f>IF(AB164=0,"",MIN(MAX(SUM(U170:X170)*5+20,20),99))</f>
        <v/>
      </c>
      <c r="AA170" s="2" t="s">
        <v>102</v>
      </c>
      <c r="AB170" s="2" t="str">
        <f>IF(AB164=0,"",MIN(MAX(AB168,50),999))</f>
        <v/>
      </c>
    </row>
    <row r="171" spans="2:28" x14ac:dyDescent="0.15">
      <c r="B171" s="64"/>
      <c r="C171" s="66" t="s">
        <v>97</v>
      </c>
      <c r="D171" s="46">
        <v>0</v>
      </c>
      <c r="E171" s="66" t="s">
        <v>98</v>
      </c>
      <c r="F171" s="46">
        <v>0</v>
      </c>
      <c r="G171" s="66" t="s">
        <v>99</v>
      </c>
      <c r="H171" s="46">
        <v>0</v>
      </c>
      <c r="I171" s="66" t="s">
        <v>100</v>
      </c>
      <c r="J171" s="46">
        <v>0</v>
      </c>
      <c r="K171" s="66" t="s">
        <v>97</v>
      </c>
      <c r="L171" s="39">
        <v>0</v>
      </c>
      <c r="M171" s="66" t="s">
        <v>98</v>
      </c>
      <c r="N171" s="39">
        <v>0</v>
      </c>
      <c r="O171" s="66" t="s">
        <v>99</v>
      </c>
      <c r="P171" s="46">
        <v>0</v>
      </c>
      <c r="Q171" s="66" t="s">
        <v>100</v>
      </c>
      <c r="R171" s="46">
        <v>0</v>
      </c>
      <c r="T171" s="2" t="s">
        <v>94</v>
      </c>
      <c r="U171" s="1">
        <f>IF(F164&lt;&gt;"使用しない",H166,0)</f>
        <v>0</v>
      </c>
      <c r="V171" s="1">
        <f>IF(N164&lt;&gt;"使用しない",P166,0)</f>
        <v>0</v>
      </c>
      <c r="W171" s="1">
        <f>IF(F168&lt;&gt;"使用しない",H170,0)</f>
        <v>0</v>
      </c>
      <c r="X171" s="1">
        <f>IF(N168&lt;&gt;"使用しない",P170,0)</f>
        <v>0</v>
      </c>
      <c r="Y171" s="2" t="str">
        <f>IF(AB164=0,"",MIN(MAX(SUM(U171:X171)*5+20,20),99))</f>
        <v/>
      </c>
    </row>
    <row r="172" spans="2:28" x14ac:dyDescent="0.15">
      <c r="B172" s="64"/>
      <c r="C172" s="65" t="s">
        <v>103</v>
      </c>
      <c r="D172" s="63"/>
      <c r="E172" s="63"/>
      <c r="F172" s="63"/>
      <c r="G172" s="63"/>
      <c r="H172" s="63"/>
      <c r="I172" s="63"/>
      <c r="J172" s="63"/>
      <c r="K172" s="63"/>
      <c r="L172" s="63"/>
      <c r="M172" s="63"/>
      <c r="N172" s="63"/>
      <c r="O172" s="63"/>
      <c r="P172" s="63"/>
      <c r="Q172" s="63"/>
      <c r="R172" s="79"/>
      <c r="T172" s="2" t="s">
        <v>95</v>
      </c>
      <c r="U172" s="1">
        <f>IF(F164&lt;&gt;"使用しない",J166,0)</f>
        <v>0</v>
      </c>
      <c r="V172" s="1">
        <f>IF(N164&lt;&gt;"使用しない",R166,0)</f>
        <v>0</v>
      </c>
      <c r="W172" s="1">
        <f>IF(F168&lt;&gt;"使用しない",J170,0)</f>
        <v>0</v>
      </c>
      <c r="X172" s="1">
        <f>IF(N168&lt;&gt;"使用しない",R170,0)</f>
        <v>0</v>
      </c>
      <c r="Y172" s="2" t="str">
        <f>IF(AB164=0,"",MIN(MAX(SUM(U172:X172)*5+20,20),99))</f>
        <v/>
      </c>
      <c r="AA172" s="2" t="s">
        <v>104</v>
      </c>
      <c r="AB172" s="1">
        <f>(CEILING(SUM(V165:V168),1000)+CEILING(SUM(W165:W168),1000)+CEILING(SUM(X165:X168),1000))/1000</f>
        <v>0</v>
      </c>
    </row>
    <row r="173" spans="2:28" x14ac:dyDescent="0.15">
      <c r="B173" s="64"/>
      <c r="C173" s="120" t="s">
        <v>105</v>
      </c>
      <c r="D173" s="121"/>
      <c r="E173" s="70" t="str">
        <f>AB170</f>
        <v/>
      </c>
      <c r="F173" s="71"/>
      <c r="G173" s="122" t="s">
        <v>106</v>
      </c>
      <c r="H173" s="123"/>
      <c r="I173" s="123"/>
      <c r="J173" s="124"/>
      <c r="K173" s="81" t="s">
        <v>92</v>
      </c>
      <c r="L173" s="72" t="str">
        <f>Y169</f>
        <v/>
      </c>
      <c r="M173" s="81" t="s">
        <v>93</v>
      </c>
      <c r="N173" s="72" t="str">
        <f>Y170</f>
        <v/>
      </c>
      <c r="O173" s="81" t="s">
        <v>94</v>
      </c>
      <c r="P173" s="71" t="str">
        <f>Y171</f>
        <v/>
      </c>
      <c r="Q173" s="81" t="s">
        <v>95</v>
      </c>
      <c r="R173" s="71" t="str">
        <f>Y172</f>
        <v/>
      </c>
      <c r="T173" s="2" t="s">
        <v>97</v>
      </c>
      <c r="U173" s="1">
        <f>IF(F164&lt;&gt;"使用しない",D167,0)</f>
        <v>0</v>
      </c>
      <c r="V173" s="1">
        <f>IF(N164&lt;&gt;"使用しない",L167,0)</f>
        <v>0</v>
      </c>
      <c r="W173" s="1">
        <f>IF(F168&lt;&gt;"使用しない",D171,0)</f>
        <v>0</v>
      </c>
      <c r="X173" s="1">
        <f>IF(N168&lt;&gt;"使用しない",L171,0)</f>
        <v>0</v>
      </c>
      <c r="Y173" s="2" t="str">
        <f>IF(AB164=0,"",MIN(MAX(SUM(U173:X173)*5+20,20),99))</f>
        <v/>
      </c>
    </row>
    <row r="174" spans="2:28" x14ac:dyDescent="0.15">
      <c r="B174" s="64"/>
      <c r="C174" s="120" t="s">
        <v>107</v>
      </c>
      <c r="D174" s="121"/>
      <c r="E174" s="125" t="str">
        <f>W163</f>
        <v/>
      </c>
      <c r="F174" s="126"/>
      <c r="G174" s="74"/>
      <c r="H174" s="127" t="str">
        <f>AB176</f>
        <v/>
      </c>
      <c r="I174" s="127"/>
      <c r="J174" s="128"/>
      <c r="K174" s="81" t="s">
        <v>97</v>
      </c>
      <c r="L174" s="72" t="str">
        <f>Y173</f>
        <v/>
      </c>
      <c r="M174" s="81" t="s">
        <v>98</v>
      </c>
      <c r="N174" s="72" t="str">
        <f>Y174</f>
        <v/>
      </c>
      <c r="O174" s="81" t="s">
        <v>99</v>
      </c>
      <c r="P174" s="71" t="str">
        <f>Y175</f>
        <v/>
      </c>
      <c r="Q174" s="81" t="s">
        <v>100</v>
      </c>
      <c r="R174" s="71" t="str">
        <f>Y176</f>
        <v/>
      </c>
      <c r="T174" s="2" t="s">
        <v>98</v>
      </c>
      <c r="U174" s="1">
        <f>IF(F164&lt;&gt;"使用しない",F167,0)</f>
        <v>0</v>
      </c>
      <c r="V174" s="1">
        <f>IF(N164&lt;&gt;"使用しない",N167,0)</f>
        <v>0</v>
      </c>
      <c r="W174" s="1">
        <f>IF(F168&lt;&gt;"使用しない",F171,0)</f>
        <v>0</v>
      </c>
      <c r="X174" s="1">
        <f>IF(N168&lt;&gt;"使用しない",N171,0)</f>
        <v>0</v>
      </c>
      <c r="Y174" s="2" t="str">
        <f>IF(AB164=0,"",MIN(MAX(SUM(U174:X174)*5+20,20),99))</f>
        <v/>
      </c>
      <c r="AA174" s="2" t="s">
        <v>108</v>
      </c>
      <c r="AB174" s="2" t="str">
        <f>IF(AB164=0,"",INDEX(ボディマスタ!$F$5:$F$8,MATCH(AB172,ボディマスタ!$E$5:$E$8,0),)&amp;"%")</f>
        <v/>
      </c>
    </row>
    <row r="175" spans="2:28" x14ac:dyDescent="0.15">
      <c r="B175" s="64"/>
      <c r="C175" s="120" t="s">
        <v>108</v>
      </c>
      <c r="D175" s="121"/>
      <c r="E175" s="75" t="str">
        <f>AB174</f>
        <v/>
      </c>
      <c r="F175" s="71"/>
      <c r="G175" s="76"/>
      <c r="H175" s="76"/>
      <c r="I175" s="76"/>
      <c r="J175" s="76"/>
      <c r="K175" s="81" t="s">
        <v>76</v>
      </c>
      <c r="L175" s="82"/>
      <c r="M175" s="73" t="str">
        <f>U163</f>
        <v/>
      </c>
      <c r="N175" s="68"/>
      <c r="O175" s="69"/>
      <c r="P175" s="69"/>
      <c r="Q175" s="69"/>
      <c r="R175" s="80"/>
      <c r="T175" s="2" t="s">
        <v>99</v>
      </c>
      <c r="U175" s="1">
        <f>IF(F164&lt;&gt;"使用しない",H167,0)</f>
        <v>0</v>
      </c>
      <c r="V175" s="1">
        <f>IF(N164&lt;&gt;"使用しない",P167,0)</f>
        <v>0</v>
      </c>
      <c r="W175" s="1">
        <f>IF(F168&lt;&gt;"使用しない",H171,0)</f>
        <v>0</v>
      </c>
      <c r="X175" s="1">
        <f>IF(N168&lt;&gt;"使用しない",P171,0)</f>
        <v>0</v>
      </c>
      <c r="Y175" s="2" t="str">
        <f>IF(AB164=0,"",MIN(MAX(SUM(U175:X175)*5+20,20),99))</f>
        <v/>
      </c>
    </row>
    <row r="176" spans="2:28" x14ac:dyDescent="0.15">
      <c r="B176" s="77"/>
      <c r="C176" s="77"/>
      <c r="D176" s="78"/>
      <c r="E176" s="78"/>
      <c r="F176" s="78"/>
      <c r="G176" s="78"/>
      <c r="H176" s="78"/>
      <c r="I176" s="78"/>
      <c r="J176" s="78"/>
      <c r="K176" s="81" t="s">
        <v>87</v>
      </c>
      <c r="L176" s="72" t="str">
        <f>Y165</f>
        <v/>
      </c>
      <c r="M176" s="81" t="s">
        <v>88</v>
      </c>
      <c r="N176" s="72" t="str">
        <f>Y166</f>
        <v/>
      </c>
      <c r="O176" s="81" t="s">
        <v>89</v>
      </c>
      <c r="P176" s="71" t="str">
        <f>Y167</f>
        <v/>
      </c>
      <c r="Q176" s="81" t="s">
        <v>90</v>
      </c>
      <c r="R176" s="71" t="str">
        <f>Y168</f>
        <v/>
      </c>
      <c r="T176" s="2" t="s">
        <v>100</v>
      </c>
      <c r="U176" s="1">
        <f>IF(F164&lt;&gt;"使用しない",J167,0)</f>
        <v>0</v>
      </c>
      <c r="V176" s="1">
        <f>IF(N164&lt;&gt;"使用しない",R167,0)</f>
        <v>0</v>
      </c>
      <c r="W176" s="1">
        <f>IF(F168&lt;&gt;"使用しない",J171,0)</f>
        <v>0</v>
      </c>
      <c r="X176" s="1">
        <f>IF(N168&lt;&gt;"使用しない",R171,0)</f>
        <v>0</v>
      </c>
      <c r="Y176" s="2" t="str">
        <f>IF(AB164=0,"",MIN(MAX(SUM(U176:X176)*5+20,20),99))</f>
        <v/>
      </c>
      <c r="AA176" s="2" t="s">
        <v>109</v>
      </c>
      <c r="AB176" s="2" t="str">
        <f>IF(AB164=0,"",INDEX(ボディマスタ!$G$5:$G$8,MATCH(AB172,ボディマスタ!$E$5:$E$8,0),))</f>
        <v/>
      </c>
    </row>
  </sheetData>
  <sheetProtection sheet="1" objects="1"/>
  <mergeCells count="50">
    <mergeCell ref="C174:D174"/>
    <mergeCell ref="E174:F174"/>
    <mergeCell ref="H174:J174"/>
    <mergeCell ref="C175:D175"/>
    <mergeCell ref="N164:O164"/>
    <mergeCell ref="F168:G168"/>
    <mergeCell ref="N168:O168"/>
    <mergeCell ref="C173:D173"/>
    <mergeCell ref="G173:J173"/>
    <mergeCell ref="C159:D159"/>
    <mergeCell ref="E159:F159"/>
    <mergeCell ref="H159:J159"/>
    <mergeCell ref="C160:D160"/>
    <mergeCell ref="F164:G164"/>
    <mergeCell ref="N149:O149"/>
    <mergeCell ref="F153:G153"/>
    <mergeCell ref="N153:O153"/>
    <mergeCell ref="C158:D158"/>
    <mergeCell ref="G158:J158"/>
    <mergeCell ref="C144:D144"/>
    <mergeCell ref="E144:F144"/>
    <mergeCell ref="H144:J144"/>
    <mergeCell ref="C145:D145"/>
    <mergeCell ref="F149:G149"/>
    <mergeCell ref="N134:O134"/>
    <mergeCell ref="F138:G138"/>
    <mergeCell ref="N138:O138"/>
    <mergeCell ref="C143:D143"/>
    <mergeCell ref="G143:J143"/>
    <mergeCell ref="C129:D129"/>
    <mergeCell ref="E129:F129"/>
    <mergeCell ref="H129:J129"/>
    <mergeCell ref="C130:D130"/>
    <mergeCell ref="F134:G134"/>
    <mergeCell ref="N119:O119"/>
    <mergeCell ref="F123:G123"/>
    <mergeCell ref="N123:O123"/>
    <mergeCell ref="C128:D128"/>
    <mergeCell ref="G128:J128"/>
    <mergeCell ref="C114:D114"/>
    <mergeCell ref="E114:F114"/>
    <mergeCell ref="H114:J114"/>
    <mergeCell ref="C115:D115"/>
    <mergeCell ref="F119:G119"/>
    <mergeCell ref="F104:G104"/>
    <mergeCell ref="N104:O104"/>
    <mergeCell ref="F108:G108"/>
    <mergeCell ref="N108:O108"/>
    <mergeCell ref="C113:D113"/>
    <mergeCell ref="G113:J113"/>
  </mergeCells>
  <phoneticPr fontId="8"/>
  <dataValidations count="5">
    <dataValidation type="list" allowBlank="1" showInputMessage="1" showErrorMessage="1" sqref="F104 F119 F134 F149 F164" xr:uid="{00000000-0002-0000-0200-000000000000}">
      <formula1>$A$1:$A$12</formula1>
    </dataValidation>
    <dataValidation type="whole" allowBlank="1" showInputMessage="1" showErrorMessage="1" sqref="E165 D106:D107 D110:D111 D121:D122 D125:D126 D136:D137 D140:D141 D151:D152 D155:D156 D166:D167 D169:D171 F106:F107 F110:F111 F121:F122 F125:F126 F136:F137 F140:F141 F151:F152 F155:F156 F166:F167 F169:F171 H106:H107 H110:H111 H121:H122 H125:H126 H136:H137 H140:H141 H151:H152 H155:H156 H166:H167 H169:H171 J106:J107 J110:J111 J121:J122 J125:J126 J136:J137 J140:J141 J151:J152 J155:J156 J166:J167 J169:J171 L106:L107 L110:L111 L121:L122 L125:L126 L136:L137 L140:L141 L151:L152 L155:L156 L165:L167 L169:L171 N106:N107 N110:N111 N121:N122 N125:N126 N136:N137 N140:N141 N151:N152 N155:N156 N165:N167 N169:N171 P106:P107 P110:P111 P121:P122 P125:P126 P136:P137 P140:P141 P151:P152 P155:P156 P165:P167 P169:P171 R106:R107 R110:R111 R121:R122 R125:R126 R136:R137 R140:R141 R151:R152 R155:R156 R165:R167 R169:R171" xr:uid="{00000000-0002-0000-0200-000001000000}">
      <formula1>-5</formula1>
      <formula2>20</formula2>
    </dataValidation>
    <dataValidation type="list" allowBlank="1" showInputMessage="1" showErrorMessage="1" sqref="N104 F108 N108 N119 F123 N123 N134 F138 N138 N149 F153 N153 N164 F168 N168" xr:uid="{00000000-0002-0000-0200-000002000000}">
      <formula1>$B$1:$B$2</formula1>
    </dataValidation>
    <dataValidation type="whole" operator="greaterThanOrEqual" allowBlank="1" showInputMessage="1" showErrorMessage="1" sqref="E105 E120 E135 E150" xr:uid="{00000000-0002-0000-0200-000003000000}">
      <formula1>0</formula1>
    </dataValidation>
    <dataValidation type="whole" allowBlank="1" showInputMessage="1" showErrorMessage="1" sqref="L105 N105 P105 R105 D109 F109 H109 J109 L109 N109 P109 R109 L120 N120 P120 R120 D124 F124 H124 J124 L124 N124 P124 R124 L135 N135 P135 R135 D139 F139 H139 J139 L139 N139 P139 R139 L150 N150 P150 R150 D154 F154 H154 J154 L154 N154 P154 R154" xr:uid="{00000000-0002-0000-0200-000004000000}">
      <formula1>0</formula1>
      <formula2>99</formula2>
    </dataValidation>
  </dataValidations>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Z221"/>
  <sheetViews>
    <sheetView topLeftCell="A101" workbookViewId="0">
      <selection activeCell="E105" sqref="E105:G105"/>
    </sheetView>
  </sheetViews>
  <sheetFormatPr defaultColWidth="9" defaultRowHeight="15.75" x14ac:dyDescent="0.15"/>
  <cols>
    <col min="1" max="2" width="2.25" style="1" customWidth="1"/>
    <col min="3" max="9" width="6" style="1" customWidth="1"/>
    <col min="10" max="10" width="5.5" style="1" customWidth="1"/>
    <col min="11" max="18" width="6" style="1" customWidth="1"/>
    <col min="19" max="19" width="9" style="1" customWidth="1"/>
    <col min="20" max="52" width="9" style="1" hidden="1" customWidth="1"/>
    <col min="53" max="16384" width="9" style="1"/>
  </cols>
  <sheetData>
    <row r="1" spans="1:3" hidden="1" x14ac:dyDescent="0.15">
      <c r="A1" s="118" t="s">
        <v>69</v>
      </c>
      <c r="B1" s="2" t="s">
        <v>69</v>
      </c>
      <c r="C1" s="118" t="s">
        <v>70</v>
      </c>
    </row>
    <row r="2" spans="1:3" hidden="1" x14ac:dyDescent="0.15">
      <c r="A2" s="2" t="str">
        <f>ロジックテーブル!C6</f>
        <v>短剣</v>
      </c>
      <c r="B2" s="2" t="s">
        <v>71</v>
      </c>
      <c r="C2" s="2" t="str">
        <f>主原料マスタ!B5</f>
        <v>メノス銅</v>
      </c>
    </row>
    <row r="3" spans="1:3" hidden="1" x14ac:dyDescent="0.15">
      <c r="A3" s="2" t="str">
        <f>ロジックテーブル!C7</f>
        <v>片手剣</v>
      </c>
      <c r="C3" s="2" t="str">
        <f>主原料マスタ!B6</f>
        <v>フォルセナ鉄</v>
      </c>
    </row>
    <row r="4" spans="1:3" hidden="1" x14ac:dyDescent="0.15">
      <c r="A4" s="2" t="str">
        <f>ロジックテーブル!C8</f>
        <v>片手斧</v>
      </c>
      <c r="B4" s="2" t="s">
        <v>72</v>
      </c>
      <c r="C4" s="2" t="str">
        <f>主原料マスタ!B7</f>
        <v>グランス鋼鉄</v>
      </c>
    </row>
    <row r="5" spans="1:3" hidden="1" x14ac:dyDescent="0.15">
      <c r="A5" s="2" t="str">
        <f>ロジックテーブル!C9</f>
        <v>両手剣</v>
      </c>
      <c r="B5" s="2" t="s">
        <v>73</v>
      </c>
      <c r="C5" s="2" t="str">
        <f>主原料マスタ!B8</f>
        <v>ミスリル銀</v>
      </c>
    </row>
    <row r="6" spans="1:3" hidden="1" x14ac:dyDescent="0.15">
      <c r="A6" s="2" t="str">
        <f>ロジックテーブル!C10</f>
        <v>両手斧</v>
      </c>
      <c r="C6" s="2" t="str">
        <f>主原料マスタ!B9</f>
        <v>アストリア銀</v>
      </c>
    </row>
    <row r="7" spans="1:3" hidden="1" x14ac:dyDescent="0.15">
      <c r="A7" s="2" t="str">
        <f>ロジックテーブル!C11</f>
        <v>ハンマー</v>
      </c>
      <c r="C7" s="2" t="str">
        <f>主原料マスタ!B10</f>
        <v>パイゼル金</v>
      </c>
    </row>
    <row r="8" spans="1:3" hidden="1" x14ac:dyDescent="0.15">
      <c r="A8" s="2" t="str">
        <f>ロジックテーブル!C12</f>
        <v>槍</v>
      </c>
      <c r="C8" s="2" t="str">
        <f>主原料マスタ!B11</f>
        <v>イシュ白金</v>
      </c>
    </row>
    <row r="9" spans="1:3" hidden="1" x14ac:dyDescent="0.15">
      <c r="A9" s="2" t="str">
        <f>ロジックテーブル!C13</f>
        <v>杖</v>
      </c>
      <c r="C9" s="2" t="str">
        <f>主原料マスタ!B12</f>
        <v>ロリマー聖鉄</v>
      </c>
    </row>
    <row r="10" spans="1:3" hidden="1" x14ac:dyDescent="0.15">
      <c r="A10" s="2" t="str">
        <f>ロジックテーブル!C14</f>
        <v>ナックル</v>
      </c>
      <c r="C10" s="2" t="str">
        <f>主原料マスタ!B13</f>
        <v>アルテナ合金</v>
      </c>
    </row>
    <row r="11" spans="1:3" hidden="1" x14ac:dyDescent="0.15">
      <c r="A11" s="2" t="str">
        <f>ロジックテーブル!C15</f>
        <v>ヌンチャク</v>
      </c>
      <c r="C11" s="2" t="str">
        <f>主原料マスタ!B14</f>
        <v>マイア鉛</v>
      </c>
    </row>
    <row r="12" spans="1:3" hidden="1" x14ac:dyDescent="0.15">
      <c r="A12" s="2" t="str">
        <f>ロジックテーブル!C16</f>
        <v>弓矢</v>
      </c>
      <c r="C12" s="2" t="str">
        <f>主原料マスタ!B15</f>
        <v>オリハルコン</v>
      </c>
    </row>
    <row r="13" spans="1:3" hidden="1" x14ac:dyDescent="0.15">
      <c r="A13" s="2" t="str">
        <f>ロジックテーブル!C17</f>
        <v>盾</v>
      </c>
      <c r="C13" s="2" t="str">
        <f>主原料マスタ!B16</f>
        <v>かしの木</v>
      </c>
    </row>
    <row r="14" spans="1:3" hidden="1" x14ac:dyDescent="0.15">
      <c r="A14" s="2" t="str">
        <f>ロジックテーブル!C18</f>
        <v>兜</v>
      </c>
      <c r="C14" s="2" t="str">
        <f>主原料マスタ!B17</f>
        <v>ひいらぎの木</v>
      </c>
    </row>
    <row r="15" spans="1:3" hidden="1" x14ac:dyDescent="0.15">
      <c r="A15" s="2" t="str">
        <f>ロジックテーブル!C19</f>
        <v>帽子</v>
      </c>
      <c r="C15" s="2" t="str">
        <f>主原料マスタ!B18</f>
        <v>バオバブの木</v>
      </c>
    </row>
    <row r="16" spans="1:3" hidden="1" x14ac:dyDescent="0.15">
      <c r="A16" s="2" t="str">
        <f>ロジックテーブル!C20</f>
        <v>鎧</v>
      </c>
      <c r="C16" s="2" t="str">
        <f>主原料マスタ!B19</f>
        <v>黒檀</v>
      </c>
    </row>
    <row r="17" spans="1:3" hidden="1" x14ac:dyDescent="0.15">
      <c r="A17" s="2" t="str">
        <f>ロジックテーブル!C21</f>
        <v>全身鎧</v>
      </c>
      <c r="C17" s="2" t="str">
        <f>主原料マスタ!B20</f>
        <v>トネリコの木</v>
      </c>
    </row>
    <row r="18" spans="1:3" hidden="1" x14ac:dyDescent="0.15">
      <c r="A18" s="2" t="str">
        <f>ロジックテーブル!C22</f>
        <v>ローブ</v>
      </c>
      <c r="C18" s="2" t="str">
        <f>主原料マスタ!B21</f>
        <v>ディオールの木</v>
      </c>
    </row>
    <row r="19" spans="1:3" hidden="1" x14ac:dyDescent="0.15">
      <c r="A19" s="2" t="str">
        <f>ロジックテーブル!C23</f>
        <v>小手</v>
      </c>
      <c r="C19" s="2" t="str">
        <f>主原料マスタ!B22</f>
        <v>やどりぎ</v>
      </c>
    </row>
    <row r="20" spans="1:3" hidden="1" x14ac:dyDescent="0.15">
      <c r="A20" s="2" t="str">
        <f>ロジックテーブル!C24</f>
        <v>ブーツ</v>
      </c>
      <c r="C20" s="2" t="str">
        <f>主原料マスタ!B23</f>
        <v>化石樹</v>
      </c>
    </row>
    <row r="21" spans="1:3" hidden="1" x14ac:dyDescent="0.15">
      <c r="A21" s="2" t="str">
        <f>ロジックテーブル!C25</f>
        <v>サンダル</v>
      </c>
      <c r="C21" s="2" t="str">
        <f>主原料マスタ!B24</f>
        <v>大理石</v>
      </c>
    </row>
    <row r="22" spans="1:3" hidden="1" x14ac:dyDescent="0.15">
      <c r="A22" s="2" t="str">
        <f>ロジックテーブル!C26</f>
        <v>マント</v>
      </c>
      <c r="C22" s="2" t="str">
        <f>主原料マスタ!B25</f>
        <v>黒曜石</v>
      </c>
    </row>
    <row r="23" spans="1:3" hidden="1" x14ac:dyDescent="0.15">
      <c r="A23" s="2" t="str">
        <f>ロジックテーブル!C27</f>
        <v>リング</v>
      </c>
      <c r="C23" s="2" t="str">
        <f>主原料マスタ!B26</f>
        <v>ペダン石</v>
      </c>
    </row>
    <row r="24" spans="1:3" hidden="1" x14ac:dyDescent="0.15">
      <c r="A24" s="2" t="str">
        <f>ロジックテーブル!C28</f>
        <v>ペンダント</v>
      </c>
      <c r="C24" s="2" t="str">
        <f>主原料マスタ!B27</f>
        <v>ガイアの涙</v>
      </c>
    </row>
    <row r="25" spans="1:3" hidden="1" x14ac:dyDescent="0.15">
      <c r="A25" s="2" t="str">
        <f>ロジックテーブル!C29</f>
        <v>ハープ</v>
      </c>
      <c r="C25" s="2" t="str">
        <f>主原料マスタ!B28</f>
        <v>獣の革</v>
      </c>
    </row>
    <row r="26" spans="1:3" hidden="1" x14ac:dyDescent="0.15">
      <c r="A26" s="2" t="str">
        <f>ロジックテーブル!C30</f>
        <v>マリンバ</v>
      </c>
      <c r="C26" s="2" t="str">
        <f>主原料マスタ!B29</f>
        <v>ワニ革</v>
      </c>
    </row>
    <row r="27" spans="1:3" hidden="1" x14ac:dyDescent="0.15">
      <c r="A27" s="2" t="str">
        <f>ロジックテーブル!C31</f>
        <v>フルート</v>
      </c>
      <c r="C27" s="2" t="str">
        <f>主原料マスタ!B30</f>
        <v>鉄甲獣の革</v>
      </c>
    </row>
    <row r="28" spans="1:3" hidden="1" x14ac:dyDescent="0.15">
      <c r="A28" s="2" t="str">
        <f>ロジックテーブル!C32</f>
        <v>ドラム</v>
      </c>
      <c r="C28" s="2" t="str">
        <f>主原料マスタ!B31</f>
        <v>飛竜の革</v>
      </c>
    </row>
    <row r="29" spans="1:3" hidden="1" x14ac:dyDescent="0.15">
      <c r="C29" s="2" t="str">
        <f>主原料マスタ!B32</f>
        <v>魚鱗</v>
      </c>
    </row>
    <row r="30" spans="1:3" hidden="1" x14ac:dyDescent="0.15">
      <c r="C30" s="2" t="str">
        <f>主原料マスタ!B33</f>
        <v>トカゲの鱗</v>
      </c>
    </row>
    <row r="31" spans="1:3" hidden="1" x14ac:dyDescent="0.15">
      <c r="C31" s="2" t="str">
        <f>主原料マスタ!B34</f>
        <v>ヘビの鱗</v>
      </c>
    </row>
    <row r="32" spans="1:3" hidden="1" x14ac:dyDescent="0.15">
      <c r="C32" s="2" t="str">
        <f>主原料マスタ!B35</f>
        <v>竜鱗</v>
      </c>
    </row>
    <row r="33" spans="3:3" hidden="1" x14ac:dyDescent="0.15">
      <c r="C33" s="2" t="str">
        <f>主原料マスタ!B36</f>
        <v>獣の骨</v>
      </c>
    </row>
    <row r="34" spans="3:3" hidden="1" x14ac:dyDescent="0.15">
      <c r="C34" s="2" t="str">
        <f>主原料マスタ!B37</f>
        <v>象牙</v>
      </c>
    </row>
    <row r="35" spans="3:3" hidden="1" x14ac:dyDescent="0.15">
      <c r="C35" s="2" t="str">
        <f>主原料マスタ!B38</f>
        <v>呪われた骨</v>
      </c>
    </row>
    <row r="36" spans="3:3" hidden="1" x14ac:dyDescent="0.15">
      <c r="C36" s="2" t="str">
        <f>主原料マスタ!B39</f>
        <v>化石</v>
      </c>
    </row>
    <row r="37" spans="3:3" hidden="1" x14ac:dyDescent="0.15">
      <c r="C37" s="2" t="str">
        <f>主原料マスタ!B40</f>
        <v>トップル木綿</v>
      </c>
    </row>
    <row r="38" spans="3:3" hidden="1" x14ac:dyDescent="0.15">
      <c r="C38" s="2" t="str">
        <f>主原料マスタ!B41</f>
        <v>サルタン絹布</v>
      </c>
    </row>
    <row r="39" spans="3:3" hidden="1" x14ac:dyDescent="0.15">
      <c r="C39" s="2" t="str">
        <f>主原料マスタ!B42</f>
        <v>ジャドヘンプ</v>
      </c>
    </row>
    <row r="40" spans="3:3" hidden="1" x14ac:dyDescent="0.15">
      <c r="C40" s="2" t="str">
        <f>主原料マスタ!B43</f>
        <v>アルテナフェルト</v>
      </c>
    </row>
    <row r="41" spans="3:3" hidden="1" x14ac:dyDescent="0.15">
      <c r="C41" s="2" t="str">
        <f>主原料マスタ!B44</f>
        <v>ジャコビニ隕石</v>
      </c>
    </row>
    <row r="42" spans="3:3" hidden="1" x14ac:dyDescent="0.15">
      <c r="C42" s="2" t="str">
        <f>主原料マスタ!B45</f>
        <v>ハレー隕石</v>
      </c>
    </row>
    <row r="43" spans="3:3" hidden="1" x14ac:dyDescent="0.15">
      <c r="C43" s="2" t="str">
        <f>主原料マスタ!B46</f>
        <v>アンク隕石</v>
      </c>
    </row>
    <row r="44" spans="3:3" hidden="1" x14ac:dyDescent="0.15">
      <c r="C44" s="2" t="str">
        <f>主原料マスタ!B47</f>
        <v>ヴィネック隕石</v>
      </c>
    </row>
    <row r="45" spans="3:3" hidden="1" x14ac:dyDescent="0.15">
      <c r="C45" s="2" t="str">
        <f>主原料マスタ!B48</f>
        <v>タトル隕石</v>
      </c>
    </row>
    <row r="46" spans="3:3" hidden="1" x14ac:dyDescent="0.15">
      <c r="C46" s="2" t="str">
        <f>主原料マスタ!B49</f>
        <v>ネメシス隕石</v>
      </c>
    </row>
    <row r="47" spans="3:3" hidden="1" x14ac:dyDescent="0.15">
      <c r="C47" s="2" t="str">
        <f>主原料マスタ!B50</f>
        <v>ビエラ隕石</v>
      </c>
    </row>
    <row r="48" spans="3:3" hidden="1" x14ac:dyDescent="0.15">
      <c r="C48" s="2" t="str">
        <f>主原料マスタ!B51</f>
        <v>スウィフト隕石</v>
      </c>
    </row>
    <row r="49" spans="3:3" hidden="1" x14ac:dyDescent="0.15">
      <c r="C49" s="2" t="str">
        <f>主原料マスタ!B52</f>
        <v>アダマンタイト</v>
      </c>
    </row>
    <row r="50" spans="3:3" hidden="1" x14ac:dyDescent="0.15">
      <c r="C50" s="2" t="str">
        <f>主原料マスタ!B53</f>
        <v>フルメタル</v>
      </c>
    </row>
    <row r="51" spans="3:3" hidden="1" x14ac:dyDescent="0.15">
      <c r="C51" s="2" t="str">
        <f>主原料マスタ!B54</f>
        <v>サンゴ</v>
      </c>
    </row>
    <row r="52" spans="3:3" hidden="1" x14ac:dyDescent="0.15">
      <c r="C52" s="2" t="str">
        <f>主原料マスタ!B55</f>
        <v>甲羅</v>
      </c>
    </row>
    <row r="53" spans="3:3" hidden="1" x14ac:dyDescent="0.15">
      <c r="C53" s="2" t="str">
        <f>主原料マスタ!B56</f>
        <v>貝殻</v>
      </c>
    </row>
    <row r="54" spans="3:3" hidden="1" x14ac:dyDescent="0.15">
      <c r="C54" s="2" t="str">
        <f>主原料マスタ!B57</f>
        <v>エメラルド</v>
      </c>
    </row>
    <row r="55" spans="3:3" hidden="1" x14ac:dyDescent="0.15">
      <c r="C55" s="2" t="str">
        <f>主原料マスタ!B58</f>
        <v>パール</v>
      </c>
    </row>
    <row r="56" spans="3:3" hidden="1" x14ac:dyDescent="0.15">
      <c r="C56" s="2" t="str">
        <f>主原料マスタ!B59</f>
        <v>ラピスラズリ</v>
      </c>
    </row>
    <row r="57" spans="3:3" hidden="1" x14ac:dyDescent="0.15"/>
    <row r="58" spans="3:3" hidden="1" x14ac:dyDescent="0.15"/>
    <row r="59" spans="3:3" hidden="1" x14ac:dyDescent="0.15"/>
    <row r="60" spans="3:3" hidden="1" x14ac:dyDescent="0.15"/>
    <row r="61" spans="3:3" hidden="1" x14ac:dyDescent="0.15"/>
    <row r="62" spans="3:3" hidden="1" x14ac:dyDescent="0.15"/>
    <row r="63" spans="3:3" hidden="1" x14ac:dyDescent="0.15"/>
    <row r="64" spans="3:3"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spans="1:47" hidden="1" x14ac:dyDescent="0.15"/>
    <row r="98" spans="1:47" hidden="1" x14ac:dyDescent="0.15"/>
    <row r="99" spans="1:47" hidden="1" x14ac:dyDescent="0.15"/>
    <row r="100" spans="1:47" hidden="1" x14ac:dyDescent="0.15"/>
    <row r="101" spans="1:47" x14ac:dyDescent="0.15">
      <c r="A101" s="2" t="s">
        <v>138</v>
      </c>
    </row>
    <row r="103" spans="1:47" x14ac:dyDescent="0.15">
      <c r="B103" s="35" t="s">
        <v>110</v>
      </c>
      <c r="C103" s="36"/>
      <c r="D103" s="36"/>
      <c r="E103" s="36"/>
      <c r="F103" s="36"/>
      <c r="G103" s="36"/>
      <c r="H103" s="36"/>
      <c r="I103" s="36"/>
      <c r="J103" s="36"/>
      <c r="K103" s="36"/>
      <c r="L103" s="36"/>
      <c r="M103" s="36"/>
      <c r="N103" s="36"/>
      <c r="O103" s="36"/>
      <c r="P103" s="36"/>
      <c r="Q103" s="36"/>
      <c r="R103" s="56"/>
      <c r="T103" s="2" t="s">
        <v>111</v>
      </c>
      <c r="U103" s="2" t="str">
        <f t="shared" ref="U103:AE103" si="0">INDEX($A$2:$A$28,COLUMN()-COLUMN($U103)+1,)</f>
        <v>短剣</v>
      </c>
      <c r="V103" s="2" t="str">
        <f t="shared" si="0"/>
        <v>片手剣</v>
      </c>
      <c r="W103" s="2" t="str">
        <f t="shared" si="0"/>
        <v>片手斧</v>
      </c>
      <c r="X103" s="2" t="str">
        <f t="shared" si="0"/>
        <v>両手剣</v>
      </c>
      <c r="Y103" s="2" t="str">
        <f t="shared" si="0"/>
        <v>両手斧</v>
      </c>
      <c r="Z103" s="2" t="str">
        <f t="shared" si="0"/>
        <v>ハンマー</v>
      </c>
      <c r="AA103" s="2" t="str">
        <f t="shared" si="0"/>
        <v>槍</v>
      </c>
      <c r="AB103" s="2" t="str">
        <f t="shared" si="0"/>
        <v>杖</v>
      </c>
      <c r="AC103" s="2" t="str">
        <f t="shared" si="0"/>
        <v>ナックル</v>
      </c>
      <c r="AD103" s="2" t="str">
        <f t="shared" si="0"/>
        <v>ヌンチャク</v>
      </c>
      <c r="AE103" s="2" t="str">
        <f t="shared" si="0"/>
        <v>弓矢</v>
      </c>
      <c r="AF103" s="2" t="str">
        <f t="shared" ref="AF103:AU103" si="1">INDEX($A$2:$A$28,COLUMN()-COLUMN($U103)+1,)</f>
        <v>盾</v>
      </c>
      <c r="AG103" s="2" t="str">
        <f t="shared" si="1"/>
        <v>兜</v>
      </c>
      <c r="AH103" s="2" t="str">
        <f t="shared" si="1"/>
        <v>帽子</v>
      </c>
      <c r="AI103" s="2" t="str">
        <f t="shared" si="1"/>
        <v>鎧</v>
      </c>
      <c r="AJ103" s="2" t="str">
        <f t="shared" si="1"/>
        <v>全身鎧</v>
      </c>
      <c r="AK103" s="2" t="str">
        <f t="shared" si="1"/>
        <v>ローブ</v>
      </c>
      <c r="AL103" s="2" t="str">
        <f t="shared" si="1"/>
        <v>小手</v>
      </c>
      <c r="AM103" s="2" t="str">
        <f t="shared" si="1"/>
        <v>ブーツ</v>
      </c>
      <c r="AN103" s="2" t="str">
        <f t="shared" si="1"/>
        <v>サンダル</v>
      </c>
      <c r="AO103" s="2" t="str">
        <f t="shared" si="1"/>
        <v>マント</v>
      </c>
      <c r="AP103" s="2" t="str">
        <f t="shared" si="1"/>
        <v>リング</v>
      </c>
      <c r="AQ103" s="2" t="str">
        <f t="shared" si="1"/>
        <v>ペンダント</v>
      </c>
      <c r="AR103" s="2" t="str">
        <f t="shared" si="1"/>
        <v>ハープ</v>
      </c>
      <c r="AS103" s="2" t="str">
        <f t="shared" si="1"/>
        <v>マリンバ</v>
      </c>
      <c r="AT103" s="2" t="str">
        <f t="shared" si="1"/>
        <v>フルート</v>
      </c>
      <c r="AU103" s="2" t="str">
        <f t="shared" si="1"/>
        <v>ドラム</v>
      </c>
    </row>
    <row r="104" spans="1:47" x14ac:dyDescent="0.15">
      <c r="B104" s="37"/>
      <c r="C104" s="35" t="s">
        <v>112</v>
      </c>
      <c r="D104" s="36"/>
      <c r="E104" s="36"/>
      <c r="F104" s="36"/>
      <c r="G104" s="36"/>
      <c r="H104" s="36"/>
      <c r="I104" s="36"/>
      <c r="J104" s="36"/>
      <c r="K104" s="44"/>
      <c r="L104" s="44"/>
      <c r="M104" s="44"/>
      <c r="N104" s="44"/>
      <c r="O104" s="44"/>
      <c r="P104" s="36"/>
      <c r="Q104" s="36"/>
      <c r="R104" s="56"/>
      <c r="T104" s="2" t="s">
        <v>110</v>
      </c>
      <c r="U104" s="2" t="str">
        <f>INDEX(ロジックテーブル!$D$6:$AD$32,MATCH($U107,ロジックテーブル!$C$6:$C$32,0),MATCH(U103,ロジックテーブル!$D$5:$AD$5,0))</f>
        <v>-</v>
      </c>
      <c r="V104" s="2" t="str">
        <f>INDEX(ロジックテーブル!$D$6:$AD$32,MATCH($U107,ロジックテーブル!$C$6:$C$32,0),MATCH(V103,ロジックテーブル!$D$5:$AD$5,0))</f>
        <v>-</v>
      </c>
      <c r="W104" s="2" t="str">
        <f>INDEX(ロジックテーブル!$D$6:$AD$32,MATCH($U107,ロジックテーブル!$C$6:$C$32,0),MATCH(W103,ロジックテーブル!$D$5:$AD$5,0))</f>
        <v>-</v>
      </c>
      <c r="X104" s="2" t="str">
        <f>INDEX(ロジックテーブル!$D$6:$AD$32,MATCH($U107,ロジックテーブル!$C$6:$C$32,0),MATCH(X103,ロジックテーブル!$D$5:$AD$5,0))</f>
        <v>-</v>
      </c>
      <c r="Y104" s="2" t="str">
        <f>INDEX(ロジックテーブル!$D$6:$AD$32,MATCH($U107,ロジックテーブル!$C$6:$C$32,0),MATCH(Y103,ロジックテーブル!$D$5:$AD$5,0))</f>
        <v>-</v>
      </c>
      <c r="Z104" s="2" t="str">
        <f>INDEX(ロジックテーブル!$D$6:$AD$32,MATCH($U107,ロジックテーブル!$C$6:$C$32,0),MATCH(Z103,ロジックテーブル!$D$5:$AD$5,0))</f>
        <v>-</v>
      </c>
      <c r="AA104" s="2" t="str">
        <f>INDEX(ロジックテーブル!$D$6:$AD$32,MATCH($U107,ロジックテーブル!$C$6:$C$32,0),MATCH(AA103,ロジックテーブル!$D$5:$AD$5,0))</f>
        <v>-</v>
      </c>
      <c r="AB104" s="2" t="str">
        <f>INDEX(ロジックテーブル!$D$6:$AD$32,MATCH($U107,ロジックテーブル!$C$6:$C$32,0),MATCH(AB103,ロジックテーブル!$D$5:$AD$5,0))</f>
        <v>-</v>
      </c>
      <c r="AC104" s="2" t="str">
        <f>INDEX(ロジックテーブル!$D$6:$AD$32,MATCH($U107,ロジックテーブル!$C$6:$C$32,0),MATCH(AC103,ロジックテーブル!$D$5:$AD$5,0))</f>
        <v>爆裂パンチ</v>
      </c>
      <c r="AD104" s="2" t="str">
        <f>INDEX(ロジックテーブル!$D$6:$AD$32,MATCH($U107,ロジックテーブル!$C$6:$C$32,0),MATCH(AD103,ロジックテーブル!$D$5:$AD$5,0))</f>
        <v>-</v>
      </c>
      <c r="AE104" s="2" t="str">
        <f>INDEX(ロジックテーブル!$D$6:$AD$32,MATCH($U107,ロジックテーブル!$C$6:$C$32,0),MATCH(AE103,ロジックテーブル!$D$5:$AD$5,0))</f>
        <v>-</v>
      </c>
      <c r="AF104" s="2" t="str">
        <f>INDEX(ロジックテーブル!$D$6:$AD$32,MATCH($U107,ロジックテーブル!$C$6:$C$32,0),MATCH(AF103,ロジックテーブル!$D$5:$AD$5,0))</f>
        <v>核自爆</v>
      </c>
      <c r="AG104" s="2" t="str">
        <f>INDEX(ロジックテーブル!$D$6:$AD$32,MATCH($U107,ロジックテーブル!$C$6:$C$32,0),MATCH(AG103,ロジックテーブル!$D$5:$AD$5,0))</f>
        <v>花火ボンバー</v>
      </c>
      <c r="AH104" s="2" t="str">
        <f>INDEX(ロジックテーブル!$D$6:$AD$32,MATCH($U107,ロジックテーブル!$C$6:$C$32,0),MATCH(AH103,ロジックテーブル!$D$5:$AD$5,0))</f>
        <v>花火ボンバー</v>
      </c>
      <c r="AI104" s="2" t="str">
        <f>INDEX(ロジックテーブル!$D$6:$AD$32,MATCH($U107,ロジックテーブル!$C$6:$C$32,0),MATCH(AI103,ロジックテーブル!$D$5:$AD$5,0))</f>
        <v>ボンバー</v>
      </c>
      <c r="AJ104" s="2" t="str">
        <f>INDEX(ロジックテーブル!$D$6:$AD$32,MATCH($U107,ロジックテーブル!$C$6:$C$32,0),MATCH(AJ103,ロジックテーブル!$D$5:$AD$5,0))</f>
        <v>ボンバー</v>
      </c>
      <c r="AK104" s="2" t="str">
        <f>INDEX(ロジックテーブル!$D$6:$AD$32,MATCH($U107,ロジックテーブル!$C$6:$C$32,0),MATCH(AK103,ロジックテーブル!$D$5:$AD$5,0))</f>
        <v>-</v>
      </c>
      <c r="AL104" s="2" t="str">
        <f>INDEX(ロジックテーブル!$D$6:$AD$32,MATCH($U107,ロジックテーブル!$C$6:$C$32,0),MATCH(AL103,ロジックテーブル!$D$5:$AD$5,0))</f>
        <v>核自爆</v>
      </c>
      <c r="AM104" s="2" t="str">
        <f>INDEX(ロジックテーブル!$D$6:$AD$32,MATCH($U107,ロジックテーブル!$C$6:$C$32,0),MATCH(AM103,ロジックテーブル!$D$5:$AD$5,0))</f>
        <v>ころがしボム</v>
      </c>
      <c r="AN104" s="2" t="str">
        <f>INDEX(ロジックテーブル!$D$6:$AD$32,MATCH($U107,ロジックテーブル!$C$6:$C$32,0),MATCH(AN103,ロジックテーブル!$D$5:$AD$5,0))</f>
        <v>ころがしボム</v>
      </c>
      <c r="AO104" s="2" t="str">
        <f>INDEX(ロジックテーブル!$D$6:$AD$32,MATCH($U107,ロジックテーブル!$C$6:$C$32,0),MATCH(AO103,ロジックテーブル!$D$5:$AD$5,0))</f>
        <v>-</v>
      </c>
      <c r="AP104" s="2" t="str">
        <f>INDEX(ロジックテーブル!$D$6:$AD$32,MATCH($U107,ロジックテーブル!$C$6:$C$32,0),MATCH(AP103,ロジックテーブル!$D$5:$AD$5,0))</f>
        <v>-</v>
      </c>
      <c r="AQ104" s="2" t="str">
        <f>INDEX(ロジックテーブル!$D$6:$AD$32,MATCH($U107,ロジックテーブル!$C$6:$C$32,0),MATCH(AQ103,ロジックテーブル!$D$5:$AD$5,0))</f>
        <v>-</v>
      </c>
      <c r="AR104" s="2" t="str">
        <f>INDEX(ロジックテーブル!$D$6:$AD$32,MATCH($U107,ロジックテーブル!$C$6:$C$32,0),MATCH(AR103,ロジックテーブル!$D$5:$AD$5,0))</f>
        <v>-</v>
      </c>
      <c r="AS104" s="2" t="str">
        <f>INDEX(ロジックテーブル!$D$6:$AD$32,MATCH($U107,ロジックテーブル!$C$6:$C$32,0),MATCH(AS103,ロジックテーブル!$D$5:$AD$5,0))</f>
        <v>波動砲</v>
      </c>
      <c r="AT104" s="2" t="str">
        <f>INDEX(ロジックテーブル!$D$6:$AD$32,MATCH($U107,ロジックテーブル!$C$6:$C$32,0),MATCH(AT103,ロジックテーブル!$D$5:$AD$5,0))</f>
        <v>拡散波動砲</v>
      </c>
      <c r="AU104" s="2" t="str">
        <f>INDEX(ロジックテーブル!$D$6:$AD$32,MATCH($U107,ロジックテーブル!$C$6:$C$32,0),MATCH(AU103,ロジックテーブル!$D$5:$AD$5,0))</f>
        <v>ばらまきボム</v>
      </c>
    </row>
    <row r="105" spans="1:47" x14ac:dyDescent="0.15">
      <c r="B105" s="37"/>
      <c r="C105" s="37"/>
      <c r="D105" s="38" t="s">
        <v>113</v>
      </c>
      <c r="E105" s="129" t="s">
        <v>114</v>
      </c>
      <c r="F105" s="129"/>
      <c r="G105" s="129"/>
      <c r="H105" s="38" t="s">
        <v>115</v>
      </c>
      <c r="I105" s="45"/>
      <c r="J105" s="129" t="s">
        <v>116</v>
      </c>
      <c r="K105" s="129"/>
      <c r="L105" s="129"/>
      <c r="M105" s="42"/>
      <c r="N105" s="42"/>
      <c r="O105" s="42"/>
      <c r="P105" s="42"/>
      <c r="Q105" s="42"/>
      <c r="R105" s="45"/>
      <c r="T105" s="2" t="s">
        <v>117</v>
      </c>
      <c r="U105" s="2" t="str">
        <f>U103&amp;"_"&amp;IF(U104="-","(無効)","(有効)")</f>
        <v>短剣_(無効)</v>
      </c>
      <c r="V105" s="2" t="str">
        <f t="shared" ref="V105:AE105" si="2">V103&amp;"_"&amp;IF(V104="-","(無効)","(有効)")</f>
        <v>片手剣_(無効)</v>
      </c>
      <c r="W105" s="2" t="str">
        <f t="shared" si="2"/>
        <v>片手斧_(無効)</v>
      </c>
      <c r="X105" s="2" t="str">
        <f t="shared" si="2"/>
        <v>両手剣_(無効)</v>
      </c>
      <c r="Y105" s="2" t="str">
        <f t="shared" si="2"/>
        <v>両手斧_(無効)</v>
      </c>
      <c r="Z105" s="2" t="str">
        <f t="shared" si="2"/>
        <v>ハンマー_(無効)</v>
      </c>
      <c r="AA105" s="2" t="str">
        <f t="shared" si="2"/>
        <v>槍_(無効)</v>
      </c>
      <c r="AB105" s="2" t="str">
        <f t="shared" si="2"/>
        <v>杖_(無効)</v>
      </c>
      <c r="AC105" s="2" t="str">
        <f t="shared" si="2"/>
        <v>ナックル_(有効)</v>
      </c>
      <c r="AD105" s="2" t="str">
        <f t="shared" si="2"/>
        <v>ヌンチャク_(無効)</v>
      </c>
      <c r="AE105" s="2" t="str">
        <f t="shared" si="2"/>
        <v>弓矢_(無効)</v>
      </c>
      <c r="AF105" s="2" t="str">
        <f t="shared" ref="AF105:AU105" si="3">AF103&amp;"_"&amp;IF(AF104="-","(無効)","(有効)")</f>
        <v>盾_(有効)</v>
      </c>
      <c r="AG105" s="2" t="str">
        <f t="shared" si="3"/>
        <v>兜_(有効)</v>
      </c>
      <c r="AH105" s="2" t="str">
        <f t="shared" si="3"/>
        <v>帽子_(有効)</v>
      </c>
      <c r="AI105" s="2" t="str">
        <f t="shared" si="3"/>
        <v>鎧_(有効)</v>
      </c>
      <c r="AJ105" s="2" t="str">
        <f t="shared" si="3"/>
        <v>全身鎧_(有効)</v>
      </c>
      <c r="AK105" s="2" t="str">
        <f t="shared" si="3"/>
        <v>ローブ_(無効)</v>
      </c>
      <c r="AL105" s="2" t="str">
        <f t="shared" si="3"/>
        <v>小手_(有効)</v>
      </c>
      <c r="AM105" s="2" t="str">
        <f t="shared" si="3"/>
        <v>ブーツ_(有効)</v>
      </c>
      <c r="AN105" s="2" t="str">
        <f t="shared" si="3"/>
        <v>サンダル_(有効)</v>
      </c>
      <c r="AO105" s="2" t="str">
        <f t="shared" si="3"/>
        <v>マント_(無効)</v>
      </c>
      <c r="AP105" s="2" t="str">
        <f t="shared" si="3"/>
        <v>リング_(無効)</v>
      </c>
      <c r="AQ105" s="2" t="str">
        <f t="shared" si="3"/>
        <v>ペンダント_(無効)</v>
      </c>
      <c r="AR105" s="2" t="str">
        <f t="shared" si="3"/>
        <v>ハープ_(無効)</v>
      </c>
      <c r="AS105" s="2" t="str">
        <f t="shared" si="3"/>
        <v>マリンバ_(有効)</v>
      </c>
      <c r="AT105" s="2" t="str">
        <f t="shared" si="3"/>
        <v>フルート_(有効)</v>
      </c>
      <c r="AU105" s="2" t="str">
        <f t="shared" si="3"/>
        <v>ドラム_(有効)</v>
      </c>
    </row>
    <row r="106" spans="1:47" x14ac:dyDescent="0.15">
      <c r="B106" s="37"/>
      <c r="C106" s="40"/>
      <c r="D106" s="130" t="s">
        <v>73</v>
      </c>
      <c r="E106" s="129"/>
      <c r="F106" s="129"/>
      <c r="G106" s="129"/>
      <c r="H106" s="38" t="str">
        <f>IF(ISERROR(MATCH(U107,$AF103:$AQ103,0)),"攻撃力","防御力合計")</f>
        <v>防御力合計</v>
      </c>
      <c r="I106" s="45"/>
      <c r="J106" s="46">
        <v>8</v>
      </c>
      <c r="K106" s="47" t="str">
        <f>IF(H106="防御力合計","叩防","")</f>
        <v>叩防</v>
      </c>
      <c r="L106" s="48">
        <v>5</v>
      </c>
      <c r="M106" s="47" t="str">
        <f>IF(H106="防御力合計","斬防","")</f>
        <v>斬防</v>
      </c>
      <c r="N106" s="48">
        <v>7</v>
      </c>
      <c r="O106" s="47" t="str">
        <f>IF(H106="防御力合計","突防","")</f>
        <v>突防</v>
      </c>
      <c r="P106" s="48">
        <v>7</v>
      </c>
      <c r="Q106" s="47" t="str">
        <f>IF(H106="防御力合計","魔防","")</f>
        <v>魔防</v>
      </c>
      <c r="R106" s="46">
        <v>0</v>
      </c>
      <c r="U106" s="2" t="s">
        <v>113</v>
      </c>
      <c r="W106" s="2" t="s">
        <v>115</v>
      </c>
      <c r="Z106" s="2" t="s">
        <v>118</v>
      </c>
      <c r="AA106" s="2" t="s">
        <v>119</v>
      </c>
      <c r="AC106" s="2" t="s">
        <v>120</v>
      </c>
      <c r="AD106" s="2" t="s">
        <v>121</v>
      </c>
    </row>
    <row r="107" spans="1:47" x14ac:dyDescent="0.15">
      <c r="B107" s="37"/>
      <c r="C107" s="35" t="s">
        <v>122</v>
      </c>
      <c r="D107" s="36"/>
      <c r="E107" s="36"/>
      <c r="F107" s="36"/>
      <c r="G107" s="36"/>
      <c r="H107" s="36"/>
      <c r="I107" s="36"/>
      <c r="J107" s="36"/>
      <c r="K107" s="36"/>
      <c r="L107" s="36"/>
      <c r="M107" s="44"/>
      <c r="N107" s="44"/>
      <c r="O107" s="44"/>
      <c r="P107" s="36"/>
      <c r="Q107" s="36"/>
      <c r="R107" s="56"/>
      <c r="T107" s="2" t="s">
        <v>123</v>
      </c>
      <c r="U107" s="2" t="str">
        <f>E105</f>
        <v>全身鎧</v>
      </c>
      <c r="W107" s="2" t="str">
        <f>J105</f>
        <v>アストリア銀</v>
      </c>
      <c r="Y107" s="2" t="str">
        <f>H106</f>
        <v>防御力合計</v>
      </c>
      <c r="Z107" s="1">
        <f>IF(ISBLANK(J106),"-",J106)</f>
        <v>8</v>
      </c>
      <c r="AA107" s="1">
        <f>IF(OR(ISBLANK(L106),ISBLANK(N106),ISBLANK(P106),ISBLANK(R106)),"-",SUM(K106:R106))</f>
        <v>19</v>
      </c>
      <c r="AB107" s="2" t="str">
        <f>D106</f>
        <v>防御力個別入力で計算</v>
      </c>
      <c r="AC107" s="1">
        <f>IF(OR(Y107="攻撃力",AB107="防御力合計で計算"),Z107,AA107)</f>
        <v>19</v>
      </c>
      <c r="AD107" s="1">
        <f>INDEX(主原料マスタ!$D$5:$D$59,MATCH(W107,主原料マスタ!$B$5:$B$59,0))</f>
        <v>4</v>
      </c>
    </row>
    <row r="108" spans="1:47" x14ac:dyDescent="0.15">
      <c r="B108" s="37"/>
      <c r="C108" s="37"/>
      <c r="D108" s="41" t="s">
        <v>113</v>
      </c>
      <c r="E108" s="129" t="s">
        <v>124</v>
      </c>
      <c r="F108" s="129"/>
      <c r="G108" s="129"/>
      <c r="H108" s="38" t="s">
        <v>115</v>
      </c>
      <c r="I108" s="45"/>
      <c r="J108" s="129" t="s">
        <v>125</v>
      </c>
      <c r="K108" s="129"/>
      <c r="L108" s="129"/>
      <c r="M108" s="42"/>
      <c r="N108" s="42"/>
      <c r="O108" s="42"/>
      <c r="P108" s="42"/>
      <c r="Q108" s="42"/>
      <c r="R108" s="45"/>
      <c r="T108" s="2" t="s">
        <v>126</v>
      </c>
      <c r="U108" s="2" t="str">
        <f>E108</f>
        <v>盾_(有効)</v>
      </c>
      <c r="V108" s="2" t="str">
        <f>LEFT(U108,FIND("_",U108)-1)</f>
        <v>盾</v>
      </c>
      <c r="W108" s="2" t="str">
        <f>J108</f>
        <v>ワニ革</v>
      </c>
      <c r="Y108" s="2" t="str">
        <f>H109</f>
        <v>防御力合計</v>
      </c>
      <c r="Z108" s="1">
        <f>IF(ISBLANK(J109),"-",J109)</f>
        <v>11</v>
      </c>
      <c r="AA108" s="1">
        <f>IF(OR(ISBLANK(L109),ISBLANK(N109),ISBLANK(P109),ISBLANK(R109)),"-",SUM(K109:R109))</f>
        <v>0</v>
      </c>
      <c r="AB108" s="2" t="str">
        <f>D109</f>
        <v>防御力合計で計算</v>
      </c>
      <c r="AC108" s="1">
        <f>IF(OR(Y108="攻撃力",AB108="防御力合計で計算"),Z108,AA108)</f>
        <v>11</v>
      </c>
      <c r="AD108" s="1">
        <f>INDEX(主原料マスタ!$D$5:$D$59,MATCH(W108,主原料マスタ!$B$5:$B$59,0))</f>
        <v>7</v>
      </c>
    </row>
    <row r="109" spans="1:47" x14ac:dyDescent="0.15">
      <c r="B109" s="37"/>
      <c r="C109" s="40"/>
      <c r="D109" s="130" t="s">
        <v>72</v>
      </c>
      <c r="E109" s="129"/>
      <c r="F109" s="129"/>
      <c r="G109" s="129"/>
      <c r="H109" s="38" t="str">
        <f>IF(ISERROR(MATCH(V108,$AF103:$AQ103,0)),"攻撃力","防御力合計")</f>
        <v>防御力合計</v>
      </c>
      <c r="I109" s="45"/>
      <c r="J109" s="46">
        <v>11</v>
      </c>
      <c r="K109" s="47" t="str">
        <f>IF(H109="防御力合計","叩防","")</f>
        <v>叩防</v>
      </c>
      <c r="L109" s="48">
        <v>0</v>
      </c>
      <c r="M109" s="47" t="str">
        <f>IF(H109="防御力合計","斬防","")</f>
        <v>斬防</v>
      </c>
      <c r="N109" s="48">
        <v>0</v>
      </c>
      <c r="O109" s="47" t="str">
        <f>IF(H109="防御力合計","突防","")</f>
        <v>突防</v>
      </c>
      <c r="P109" s="48">
        <v>0</v>
      </c>
      <c r="Q109" s="47" t="str">
        <f>IF(H109="防御力合計","魔防","")</f>
        <v>魔防</v>
      </c>
      <c r="R109" s="46">
        <v>0</v>
      </c>
      <c r="W109" s="2" t="s">
        <v>127</v>
      </c>
      <c r="Z109" s="2" t="s">
        <v>128</v>
      </c>
      <c r="AA109" s="2" t="s">
        <v>102</v>
      </c>
      <c r="AB109" s="2" t="s">
        <v>129</v>
      </c>
      <c r="AD109" s="1">
        <f>MOD(AD107+AD108,11)</f>
        <v>0</v>
      </c>
      <c r="AE109" s="61" t="str">
        <f>IF(U110="-","",INDEX(ロジック形状!$C$5:$C$26,MATCH(AD109,ロジック形状!$B$5:$B$26,0),))</f>
        <v>□□□□</v>
      </c>
    </row>
    <row r="110" spans="1:47" x14ac:dyDescent="0.15">
      <c r="B110" s="37"/>
      <c r="C110" s="35" t="s">
        <v>130</v>
      </c>
      <c r="D110" s="36"/>
      <c r="E110" s="36"/>
      <c r="F110" s="36"/>
      <c r="G110" s="36"/>
      <c r="H110" s="36"/>
      <c r="I110" s="36"/>
      <c r="J110" s="36"/>
      <c r="K110" s="36"/>
      <c r="L110" s="36"/>
      <c r="M110" s="36"/>
      <c r="N110" s="49" t="s">
        <v>131</v>
      </c>
      <c r="O110" s="50"/>
      <c r="P110" s="51"/>
      <c r="Q110" s="57" t="str">
        <f>AE109</f>
        <v>□□□□</v>
      </c>
      <c r="R110" s="58"/>
      <c r="T110" s="2" t="s">
        <v>110</v>
      </c>
      <c r="U110" s="2" t="str">
        <f>INDEX(U104:AU104,,MATCH(V108,U103:AU103,0))</f>
        <v>核自爆</v>
      </c>
      <c r="W110" s="2" t="str">
        <f>IF(U110="-","-",INDEX(ロジックマスタ!$D$5:$D$56,MATCH(U110,ロジックマスタ!$B$5:$B$56,0),))</f>
        <v>残HP</v>
      </c>
      <c r="Y110" s="2" t="s">
        <v>132</v>
      </c>
      <c r="Z110" s="1">
        <f>IF(OR(AC107="-",AC108="-"),0,(AC107+AC108)/17)</f>
        <v>1.7647058823529411</v>
      </c>
      <c r="AA110" s="1">
        <f>ROUNDDOWN(MIN(MAX(Z110,0),9),0)</f>
        <v>1</v>
      </c>
      <c r="AB110" s="2" t="str">
        <f>IF(OR(AA110=0,W110="-"),"","＋"&amp;AA110)</f>
        <v>＋1</v>
      </c>
      <c r="AE110" s="61" t="str">
        <f>IF(U110="-","",INDEX(ロジック形状!$C$5:$C$26,MATCH(AD109,ロジック形状!$B$5:$B$26,0)+1,))</f>
        <v>■□□□</v>
      </c>
    </row>
    <row r="111" spans="1:47" x14ac:dyDescent="0.15">
      <c r="B111" s="40"/>
      <c r="C111" s="40"/>
      <c r="D111" s="38" t="s">
        <v>133</v>
      </c>
      <c r="E111" s="42"/>
      <c r="F111" s="42"/>
      <c r="G111" s="131" t="str">
        <f>U110&amp;AB110</f>
        <v>核自爆＋1</v>
      </c>
      <c r="H111" s="131"/>
      <c r="I111" s="131"/>
      <c r="J111" s="38" t="s">
        <v>127</v>
      </c>
      <c r="K111" s="42"/>
      <c r="L111" s="43" t="str">
        <f>W110</f>
        <v>残HP</v>
      </c>
      <c r="M111" s="52"/>
      <c r="N111" s="53"/>
      <c r="O111" s="54"/>
      <c r="P111" s="55"/>
      <c r="Q111" s="59" t="str">
        <f>AE110</f>
        <v>■□□□</v>
      </c>
      <c r="R111" s="60"/>
    </row>
    <row r="113" spans="2:47" x14ac:dyDescent="0.15">
      <c r="B113" s="35" t="s">
        <v>110</v>
      </c>
      <c r="C113" s="36"/>
      <c r="D113" s="36"/>
      <c r="E113" s="36"/>
      <c r="F113" s="36"/>
      <c r="G113" s="36"/>
      <c r="H113" s="36"/>
      <c r="I113" s="36"/>
      <c r="J113" s="36"/>
      <c r="K113" s="36"/>
      <c r="L113" s="36"/>
      <c r="M113" s="36"/>
      <c r="N113" s="36"/>
      <c r="O113" s="36"/>
      <c r="P113" s="36"/>
      <c r="Q113" s="36"/>
      <c r="R113" s="56"/>
      <c r="T113" s="2" t="s">
        <v>111</v>
      </c>
      <c r="U113" s="2" t="str">
        <f t="shared" ref="U113:AE113" si="4">INDEX($A$2:$A$28,COLUMN()-COLUMN($U113)+1,)</f>
        <v>短剣</v>
      </c>
      <c r="V113" s="2" t="str">
        <f t="shared" si="4"/>
        <v>片手剣</v>
      </c>
      <c r="W113" s="2" t="str">
        <f t="shared" si="4"/>
        <v>片手斧</v>
      </c>
      <c r="X113" s="2" t="str">
        <f t="shared" si="4"/>
        <v>両手剣</v>
      </c>
      <c r="Y113" s="2" t="str">
        <f t="shared" si="4"/>
        <v>両手斧</v>
      </c>
      <c r="Z113" s="2" t="str">
        <f t="shared" si="4"/>
        <v>ハンマー</v>
      </c>
      <c r="AA113" s="2" t="str">
        <f t="shared" si="4"/>
        <v>槍</v>
      </c>
      <c r="AB113" s="2" t="str">
        <f t="shared" si="4"/>
        <v>杖</v>
      </c>
      <c r="AC113" s="2" t="str">
        <f t="shared" si="4"/>
        <v>ナックル</v>
      </c>
      <c r="AD113" s="2" t="str">
        <f t="shared" si="4"/>
        <v>ヌンチャク</v>
      </c>
      <c r="AE113" s="2" t="str">
        <f t="shared" si="4"/>
        <v>弓矢</v>
      </c>
      <c r="AF113" s="2" t="str">
        <f t="shared" ref="AF113:AU113" si="5">INDEX($A$2:$A$28,COLUMN()-COLUMN($U113)+1,)</f>
        <v>盾</v>
      </c>
      <c r="AG113" s="2" t="str">
        <f t="shared" si="5"/>
        <v>兜</v>
      </c>
      <c r="AH113" s="2" t="str">
        <f t="shared" si="5"/>
        <v>帽子</v>
      </c>
      <c r="AI113" s="2" t="str">
        <f t="shared" si="5"/>
        <v>鎧</v>
      </c>
      <c r="AJ113" s="2" t="str">
        <f t="shared" si="5"/>
        <v>全身鎧</v>
      </c>
      <c r="AK113" s="2" t="str">
        <f t="shared" si="5"/>
        <v>ローブ</v>
      </c>
      <c r="AL113" s="2" t="str">
        <f t="shared" si="5"/>
        <v>小手</v>
      </c>
      <c r="AM113" s="2" t="str">
        <f t="shared" si="5"/>
        <v>ブーツ</v>
      </c>
      <c r="AN113" s="2" t="str">
        <f t="shared" si="5"/>
        <v>サンダル</v>
      </c>
      <c r="AO113" s="2" t="str">
        <f t="shared" si="5"/>
        <v>マント</v>
      </c>
      <c r="AP113" s="2" t="str">
        <f t="shared" si="5"/>
        <v>リング</v>
      </c>
      <c r="AQ113" s="2" t="str">
        <f t="shared" si="5"/>
        <v>ペンダント</v>
      </c>
      <c r="AR113" s="2" t="str">
        <f t="shared" si="5"/>
        <v>ハープ</v>
      </c>
      <c r="AS113" s="2" t="str">
        <f t="shared" si="5"/>
        <v>マリンバ</v>
      </c>
      <c r="AT113" s="2" t="str">
        <f t="shared" si="5"/>
        <v>フルート</v>
      </c>
      <c r="AU113" s="2" t="str">
        <f t="shared" si="5"/>
        <v>ドラム</v>
      </c>
    </row>
    <row r="114" spans="2:47" x14ac:dyDescent="0.15">
      <c r="B114" s="37"/>
      <c r="C114" s="35" t="s">
        <v>112</v>
      </c>
      <c r="D114" s="36"/>
      <c r="E114" s="36"/>
      <c r="F114" s="36"/>
      <c r="G114" s="36"/>
      <c r="H114" s="36"/>
      <c r="I114" s="36"/>
      <c r="J114" s="36"/>
      <c r="K114" s="44"/>
      <c r="L114" s="44"/>
      <c r="M114" s="44"/>
      <c r="N114" s="44"/>
      <c r="O114" s="44"/>
      <c r="P114" s="36"/>
      <c r="Q114" s="36"/>
      <c r="R114" s="56"/>
      <c r="T114" s="2" t="s">
        <v>110</v>
      </c>
      <c r="U114" s="2" t="str">
        <f>INDEX(ロジックテーブル!$D$6:$AD$32,MATCH($U117,ロジックテーブル!$C$6:$C$32,0),MATCH(U113,ロジックテーブル!$D$5:$AD$5,0))</f>
        <v>-</v>
      </c>
      <c r="V114" s="2" t="str">
        <f>INDEX(ロジックテーブル!$D$6:$AD$32,MATCH($U117,ロジックテーブル!$C$6:$C$32,0),MATCH(V113,ロジックテーブル!$D$5:$AD$5,0))</f>
        <v>-</v>
      </c>
      <c r="W114" s="2" t="str">
        <f>INDEX(ロジックテーブル!$D$6:$AD$32,MATCH($U117,ロジックテーブル!$C$6:$C$32,0),MATCH(W113,ロジックテーブル!$D$5:$AD$5,0))</f>
        <v>-</v>
      </c>
      <c r="X114" s="2" t="str">
        <f>INDEX(ロジックテーブル!$D$6:$AD$32,MATCH($U117,ロジックテーブル!$C$6:$C$32,0),MATCH(X113,ロジックテーブル!$D$5:$AD$5,0))</f>
        <v>-</v>
      </c>
      <c r="Y114" s="2" t="str">
        <f>INDEX(ロジックテーブル!$D$6:$AD$32,MATCH($U117,ロジックテーブル!$C$6:$C$32,0),MATCH(Y113,ロジックテーブル!$D$5:$AD$5,0))</f>
        <v>-</v>
      </c>
      <c r="Z114" s="2" t="str">
        <f>INDEX(ロジックテーブル!$D$6:$AD$32,MATCH($U117,ロジックテーブル!$C$6:$C$32,0),MATCH(Z113,ロジックテーブル!$D$5:$AD$5,0))</f>
        <v>ピコピコハンマー</v>
      </c>
      <c r="AA114" s="2" t="str">
        <f>INDEX(ロジックテーブル!$D$6:$AD$32,MATCH($U117,ロジックテーブル!$C$6:$C$32,0),MATCH(AA113,ロジックテーブル!$D$5:$AD$5,0))</f>
        <v>-</v>
      </c>
      <c r="AB114" s="2" t="str">
        <f>INDEX(ロジックテーブル!$D$6:$AD$32,MATCH($U117,ロジックテーブル!$C$6:$C$32,0),MATCH(AB113,ロジックテーブル!$D$5:$AD$5,0))</f>
        <v>-</v>
      </c>
      <c r="AC114" s="2" t="str">
        <f>INDEX(ロジックテーブル!$D$6:$AD$32,MATCH($U117,ロジックテーブル!$C$6:$C$32,0),MATCH(AC113,ロジックテーブル!$D$5:$AD$5,0))</f>
        <v>トゲ鉄球アッパー</v>
      </c>
      <c r="AD114" s="2" t="str">
        <f>INDEX(ロジックテーブル!$D$6:$AD$32,MATCH($U117,ロジックテーブル!$C$6:$C$32,0),MATCH(AD113,ロジックテーブル!$D$5:$AD$5,0))</f>
        <v>ピコピコハンマー</v>
      </c>
      <c r="AE114" s="2" t="str">
        <f>INDEX(ロジックテーブル!$D$6:$AD$32,MATCH($U117,ロジックテーブル!$C$6:$C$32,0),MATCH(AE113,ロジックテーブル!$D$5:$AD$5,0))</f>
        <v>-</v>
      </c>
      <c r="AF114" s="2" t="str">
        <f>INDEX(ロジックテーブル!$D$6:$AD$32,MATCH($U117,ロジックテーブル!$C$6:$C$32,0),MATCH(AF113,ロジックテーブル!$D$5:$AD$5,0))</f>
        <v>-</v>
      </c>
      <c r="AG114" s="2" t="str">
        <f>INDEX(ロジックテーブル!$D$6:$AD$32,MATCH($U117,ロジックテーブル!$C$6:$C$32,0),MATCH(AG113,ロジックテーブル!$D$5:$AD$5,0))</f>
        <v>トゲ鉄球雨あられ</v>
      </c>
      <c r="AH114" s="2" t="str">
        <f>INDEX(ロジックテーブル!$D$6:$AD$32,MATCH($U117,ロジックテーブル!$C$6:$C$32,0),MATCH(AH113,ロジックテーブル!$D$5:$AD$5,0))</f>
        <v>トゲ鉄球雨あられ</v>
      </c>
      <c r="AI114" s="2" t="str">
        <f>INDEX(ロジックテーブル!$D$6:$AD$32,MATCH($U117,ロジックテーブル!$C$6:$C$32,0),MATCH(AI113,ロジックテーブル!$D$5:$AD$5,0))</f>
        <v>-</v>
      </c>
      <c r="AJ114" s="2" t="str">
        <f>INDEX(ロジックテーブル!$D$6:$AD$32,MATCH($U117,ロジックテーブル!$C$6:$C$32,0),MATCH(AJ113,ロジックテーブル!$D$5:$AD$5,0))</f>
        <v>-</v>
      </c>
      <c r="AK114" s="2" t="str">
        <f>INDEX(ロジックテーブル!$D$6:$AD$32,MATCH($U117,ロジックテーブル!$C$6:$C$32,0),MATCH(AK113,ロジックテーブル!$D$5:$AD$5,0))</f>
        <v>大車輪トゲ鉄球</v>
      </c>
      <c r="AL114" s="2" t="str">
        <f>INDEX(ロジックテーブル!$D$6:$AD$32,MATCH($U117,ロジックテーブル!$C$6:$C$32,0),MATCH(AL113,ロジックテーブル!$D$5:$AD$5,0))</f>
        <v>-</v>
      </c>
      <c r="AM114" s="2" t="str">
        <f>INDEX(ロジックテーブル!$D$6:$AD$32,MATCH($U117,ロジックテーブル!$C$6:$C$32,0),MATCH(AM113,ロジックテーブル!$D$5:$AD$5,0))</f>
        <v>-</v>
      </c>
      <c r="AN114" s="2" t="str">
        <f>INDEX(ロジックテーブル!$D$6:$AD$32,MATCH($U117,ロジックテーブル!$C$6:$C$32,0),MATCH(AN113,ロジックテーブル!$D$5:$AD$5,0))</f>
        <v>-</v>
      </c>
      <c r="AO114" s="2" t="str">
        <f>INDEX(ロジックテーブル!$D$6:$AD$32,MATCH($U117,ロジックテーブル!$C$6:$C$32,0),MATCH(AO113,ロジックテーブル!$D$5:$AD$5,0))</f>
        <v>大車輪トゲ鉄球</v>
      </c>
      <c r="AP114" s="2" t="str">
        <f>INDEX(ロジックテーブル!$D$6:$AD$32,MATCH($U117,ロジックテーブル!$C$6:$C$32,0),MATCH(AP113,ロジックテーブル!$D$5:$AD$5,0))</f>
        <v>まんまるドロップ</v>
      </c>
      <c r="AQ114" s="2" t="str">
        <f>INDEX(ロジックテーブル!$D$6:$AD$32,MATCH($U117,ロジックテーブル!$C$6:$C$32,0),MATCH(AQ113,ロジックテーブル!$D$5:$AD$5,0))</f>
        <v>まんまるドロップ</v>
      </c>
      <c r="AR114" s="2" t="str">
        <f>INDEX(ロジックテーブル!$D$6:$AD$32,MATCH($U117,ロジックテーブル!$C$6:$C$32,0),MATCH(AR113,ロジックテーブル!$D$5:$AD$5,0))</f>
        <v>-</v>
      </c>
      <c r="AS114" s="2" t="str">
        <f>INDEX(ロジックテーブル!$D$6:$AD$32,MATCH($U117,ロジックテーブル!$C$6:$C$32,0),MATCH(AS113,ロジックテーブル!$D$5:$AD$5,0))</f>
        <v>-</v>
      </c>
      <c r="AT114" s="2" t="str">
        <f>INDEX(ロジックテーブル!$D$6:$AD$32,MATCH($U117,ロジックテーブル!$C$6:$C$32,0),MATCH(AT113,ロジックテーブル!$D$5:$AD$5,0))</f>
        <v>-</v>
      </c>
      <c r="AU114" s="2" t="str">
        <f>INDEX(ロジックテーブル!$D$6:$AD$32,MATCH($U117,ロジックテーブル!$C$6:$C$32,0),MATCH(AU113,ロジックテーブル!$D$5:$AD$5,0))</f>
        <v>-</v>
      </c>
    </row>
    <row r="115" spans="2:47" x14ac:dyDescent="0.15">
      <c r="B115" s="37"/>
      <c r="C115" s="37"/>
      <c r="D115" s="38" t="s">
        <v>113</v>
      </c>
      <c r="E115" s="129" t="s">
        <v>79</v>
      </c>
      <c r="F115" s="129"/>
      <c r="G115" s="129"/>
      <c r="H115" s="38" t="s">
        <v>115</v>
      </c>
      <c r="I115" s="45"/>
      <c r="J115" s="129" t="s">
        <v>116</v>
      </c>
      <c r="K115" s="129"/>
      <c r="L115" s="129"/>
      <c r="M115" s="42"/>
      <c r="N115" s="42"/>
      <c r="O115" s="42"/>
      <c r="P115" s="42"/>
      <c r="Q115" s="42"/>
      <c r="R115" s="45"/>
      <c r="T115" s="2" t="s">
        <v>117</v>
      </c>
      <c r="U115" s="2" t="str">
        <f>U113&amp;"_"&amp;IF(U114="-","(無効)","(有効)")</f>
        <v>短剣_(無効)</v>
      </c>
      <c r="V115" s="2" t="str">
        <f t="shared" ref="V115:AE115" si="6">V113&amp;"_"&amp;IF(V114="-","(無効)","(有効)")</f>
        <v>片手剣_(無効)</v>
      </c>
      <c r="W115" s="2" t="str">
        <f t="shared" si="6"/>
        <v>片手斧_(無効)</v>
      </c>
      <c r="X115" s="2" t="str">
        <f t="shared" si="6"/>
        <v>両手剣_(無効)</v>
      </c>
      <c r="Y115" s="2" t="str">
        <f t="shared" si="6"/>
        <v>両手斧_(無効)</v>
      </c>
      <c r="Z115" s="2" t="str">
        <f t="shared" si="6"/>
        <v>ハンマー_(有効)</v>
      </c>
      <c r="AA115" s="2" t="str">
        <f t="shared" si="6"/>
        <v>槍_(無効)</v>
      </c>
      <c r="AB115" s="2" t="str">
        <f t="shared" si="6"/>
        <v>杖_(無効)</v>
      </c>
      <c r="AC115" s="2" t="str">
        <f t="shared" si="6"/>
        <v>ナックル_(有効)</v>
      </c>
      <c r="AD115" s="2" t="str">
        <f t="shared" si="6"/>
        <v>ヌンチャク_(有効)</v>
      </c>
      <c r="AE115" s="2" t="str">
        <f t="shared" si="6"/>
        <v>弓矢_(無効)</v>
      </c>
      <c r="AF115" s="2" t="str">
        <f t="shared" ref="AF115:AU115" si="7">AF113&amp;"_"&amp;IF(AF114="-","(無効)","(有効)")</f>
        <v>盾_(無効)</v>
      </c>
      <c r="AG115" s="2" t="str">
        <f t="shared" si="7"/>
        <v>兜_(有効)</v>
      </c>
      <c r="AH115" s="2" t="str">
        <f t="shared" si="7"/>
        <v>帽子_(有効)</v>
      </c>
      <c r="AI115" s="2" t="str">
        <f t="shared" si="7"/>
        <v>鎧_(無効)</v>
      </c>
      <c r="AJ115" s="2" t="str">
        <f t="shared" si="7"/>
        <v>全身鎧_(無効)</v>
      </c>
      <c r="AK115" s="2" t="str">
        <f t="shared" si="7"/>
        <v>ローブ_(有効)</v>
      </c>
      <c r="AL115" s="2" t="str">
        <f t="shared" si="7"/>
        <v>小手_(無効)</v>
      </c>
      <c r="AM115" s="2" t="str">
        <f t="shared" si="7"/>
        <v>ブーツ_(無効)</v>
      </c>
      <c r="AN115" s="2" t="str">
        <f t="shared" si="7"/>
        <v>サンダル_(無効)</v>
      </c>
      <c r="AO115" s="2" t="str">
        <f t="shared" si="7"/>
        <v>マント_(有効)</v>
      </c>
      <c r="AP115" s="2" t="str">
        <f t="shared" si="7"/>
        <v>リング_(有効)</v>
      </c>
      <c r="AQ115" s="2" t="str">
        <f t="shared" si="7"/>
        <v>ペンダント_(有効)</v>
      </c>
      <c r="AR115" s="2" t="str">
        <f t="shared" si="7"/>
        <v>ハープ_(無効)</v>
      </c>
      <c r="AS115" s="2" t="str">
        <f t="shared" si="7"/>
        <v>マリンバ_(無効)</v>
      </c>
      <c r="AT115" s="2" t="str">
        <f t="shared" si="7"/>
        <v>フルート_(無効)</v>
      </c>
      <c r="AU115" s="2" t="str">
        <f t="shared" si="7"/>
        <v>ドラム_(無効)</v>
      </c>
    </row>
    <row r="116" spans="2:47" x14ac:dyDescent="0.15">
      <c r="B116" s="37"/>
      <c r="C116" s="40"/>
      <c r="D116" s="130" t="s">
        <v>73</v>
      </c>
      <c r="E116" s="129"/>
      <c r="F116" s="129"/>
      <c r="G116" s="129"/>
      <c r="H116" s="38" t="str">
        <f>IF(ISERROR(MATCH(U117,$AF113:$AQ113,0)),"攻撃力","防御力合計")</f>
        <v>攻撃力</v>
      </c>
      <c r="I116" s="45"/>
      <c r="J116" s="46">
        <v>37</v>
      </c>
      <c r="K116" s="47" t="str">
        <f>IF(H116="防御力合計","叩防","")</f>
        <v/>
      </c>
      <c r="L116" s="48"/>
      <c r="M116" s="47" t="str">
        <f>IF(H116="防御力合計","斬防","")</f>
        <v/>
      </c>
      <c r="N116" s="48"/>
      <c r="O116" s="47" t="str">
        <f>IF(H116="防御力合計","突防","")</f>
        <v/>
      </c>
      <c r="P116" s="48"/>
      <c r="Q116" s="47" t="str">
        <f>IF(H116="防御力合計","魔防","")</f>
        <v/>
      </c>
      <c r="R116" s="46"/>
      <c r="U116" s="2" t="s">
        <v>113</v>
      </c>
      <c r="W116" s="2" t="s">
        <v>115</v>
      </c>
      <c r="Z116" s="2" t="s">
        <v>118</v>
      </c>
      <c r="AA116" s="2" t="s">
        <v>119</v>
      </c>
      <c r="AC116" s="2" t="s">
        <v>120</v>
      </c>
      <c r="AD116" s="2" t="s">
        <v>121</v>
      </c>
    </row>
    <row r="117" spans="2:47" x14ac:dyDescent="0.15">
      <c r="B117" s="37"/>
      <c r="C117" s="35" t="s">
        <v>122</v>
      </c>
      <c r="D117" s="36"/>
      <c r="E117" s="36"/>
      <c r="F117" s="36"/>
      <c r="G117" s="36"/>
      <c r="H117" s="36"/>
      <c r="I117" s="36"/>
      <c r="J117" s="36"/>
      <c r="K117" s="36"/>
      <c r="L117" s="36"/>
      <c r="M117" s="44"/>
      <c r="N117" s="44"/>
      <c r="O117" s="44"/>
      <c r="P117" s="36"/>
      <c r="Q117" s="36"/>
      <c r="R117" s="56"/>
      <c r="T117" s="2" t="s">
        <v>123</v>
      </c>
      <c r="U117" s="2" t="str">
        <f>E115</f>
        <v>ハンマー</v>
      </c>
      <c r="W117" s="2" t="str">
        <f>J115</f>
        <v>アストリア銀</v>
      </c>
      <c r="Y117" s="2" t="str">
        <f>H116</f>
        <v>攻撃力</v>
      </c>
      <c r="Z117" s="1">
        <f>IF(ISBLANK(J116),"-",J116)</f>
        <v>37</v>
      </c>
      <c r="AA117" s="2" t="str">
        <f>IF(OR(ISBLANK(L116),ISBLANK(N116),ISBLANK(P116),ISBLANK(R116)),"-",SUM(K116:R116))</f>
        <v>-</v>
      </c>
      <c r="AB117" s="2" t="str">
        <f>D116</f>
        <v>防御力個別入力で計算</v>
      </c>
      <c r="AC117" s="1">
        <f>IF(OR(Y117="攻撃力",AB117="防御力合計で計算"),Z117,AA117)</f>
        <v>37</v>
      </c>
      <c r="AD117" s="1">
        <f>INDEX(主原料マスタ!$D$5:$D$59,MATCH(W117,主原料マスタ!$B$5:$B$59,0))</f>
        <v>4</v>
      </c>
    </row>
    <row r="118" spans="2:47" x14ac:dyDescent="0.15">
      <c r="B118" s="37"/>
      <c r="C118" s="37"/>
      <c r="D118" s="41" t="s">
        <v>113</v>
      </c>
      <c r="E118" s="129" t="s">
        <v>134</v>
      </c>
      <c r="F118" s="129"/>
      <c r="G118" s="129"/>
      <c r="H118" s="38" t="s">
        <v>115</v>
      </c>
      <c r="I118" s="45"/>
      <c r="J118" s="129" t="s">
        <v>125</v>
      </c>
      <c r="K118" s="129"/>
      <c r="L118" s="129"/>
      <c r="M118" s="42"/>
      <c r="N118" s="42"/>
      <c r="O118" s="42"/>
      <c r="P118" s="42"/>
      <c r="Q118" s="42"/>
      <c r="R118" s="45"/>
      <c r="T118" s="2" t="s">
        <v>126</v>
      </c>
      <c r="U118" s="2" t="str">
        <f>E118</f>
        <v>ペンダント_(有効)</v>
      </c>
      <c r="V118" s="2" t="str">
        <f>LEFT(U118,FIND("_",U118)-1)</f>
        <v>ペンダント</v>
      </c>
      <c r="W118" s="2" t="str">
        <f>J118</f>
        <v>ワニ革</v>
      </c>
      <c r="Y118" s="2" t="str">
        <f>H119</f>
        <v>防御力合計</v>
      </c>
      <c r="Z118" s="1">
        <f>IF(ISBLANK(J119),"-",J119)</f>
        <v>11</v>
      </c>
      <c r="AA118" s="1">
        <f>IF(OR(ISBLANK(L119),ISBLANK(N119),ISBLANK(P119),ISBLANK(R119)),"-",SUM(K119:R119))</f>
        <v>0</v>
      </c>
      <c r="AB118" s="2" t="str">
        <f>D119</f>
        <v>防御力合計で計算</v>
      </c>
      <c r="AC118" s="1">
        <f>IF(OR(Y118="攻撃力",AB118="防御力合計で計算"),Z118,AA118)</f>
        <v>11</v>
      </c>
      <c r="AD118" s="1">
        <f>INDEX(主原料マスタ!$D$5:$D$59,MATCH(W118,主原料マスタ!$B$5:$B$59,0))</f>
        <v>7</v>
      </c>
    </row>
    <row r="119" spans="2:47" x14ac:dyDescent="0.15">
      <c r="B119" s="37"/>
      <c r="C119" s="40"/>
      <c r="D119" s="130" t="s">
        <v>72</v>
      </c>
      <c r="E119" s="129"/>
      <c r="F119" s="129"/>
      <c r="G119" s="129"/>
      <c r="H119" s="38" t="str">
        <f>IF(ISERROR(MATCH(V118,$AF113:$AQ113,0)),"攻撃力","防御力合計")</f>
        <v>防御力合計</v>
      </c>
      <c r="I119" s="45"/>
      <c r="J119" s="46">
        <v>11</v>
      </c>
      <c r="K119" s="47" t="str">
        <f>IF(H119="防御力合計","叩防","")</f>
        <v>叩防</v>
      </c>
      <c r="L119" s="48">
        <v>0</v>
      </c>
      <c r="M119" s="47" t="str">
        <f>IF(H119="防御力合計","斬防","")</f>
        <v>斬防</v>
      </c>
      <c r="N119" s="48">
        <v>0</v>
      </c>
      <c r="O119" s="47" t="str">
        <f>IF(H119="防御力合計","突防","")</f>
        <v>突防</v>
      </c>
      <c r="P119" s="48">
        <v>0</v>
      </c>
      <c r="Q119" s="47" t="str">
        <f>IF(H119="防御力合計","魔防","")</f>
        <v>魔防</v>
      </c>
      <c r="R119" s="46">
        <v>0</v>
      </c>
      <c r="W119" s="2" t="s">
        <v>127</v>
      </c>
      <c r="Z119" s="2" t="s">
        <v>128</v>
      </c>
      <c r="AA119" s="2" t="s">
        <v>102</v>
      </c>
      <c r="AB119" s="2" t="s">
        <v>129</v>
      </c>
      <c r="AD119" s="1">
        <f>MOD(AD117+AD118,11)</f>
        <v>0</v>
      </c>
      <c r="AE119" s="61" t="str">
        <f>IF(U120="-","",INDEX(ロジック形状!$C$5:$C$26,MATCH(AD119,ロジック形状!$B$5:$B$26,0),))</f>
        <v>□□□□</v>
      </c>
    </row>
    <row r="120" spans="2:47" x14ac:dyDescent="0.15">
      <c r="B120" s="37"/>
      <c r="C120" s="35" t="s">
        <v>130</v>
      </c>
      <c r="D120" s="36"/>
      <c r="E120" s="36"/>
      <c r="F120" s="36"/>
      <c r="G120" s="36"/>
      <c r="H120" s="36"/>
      <c r="I120" s="36"/>
      <c r="J120" s="36"/>
      <c r="K120" s="36"/>
      <c r="L120" s="36"/>
      <c r="M120" s="36"/>
      <c r="N120" s="49" t="s">
        <v>131</v>
      </c>
      <c r="O120" s="50"/>
      <c r="P120" s="51"/>
      <c r="Q120" s="57" t="str">
        <f>AE119</f>
        <v>□□□□</v>
      </c>
      <c r="R120" s="58"/>
      <c r="T120" s="2" t="s">
        <v>110</v>
      </c>
      <c r="U120" s="2" t="str">
        <f>INDEX(U114:AU114,,MATCH(V118,U113:AU113,0))</f>
        <v>まんまるドロップ</v>
      </c>
      <c r="W120" s="2" t="str">
        <f>IF(U120="-","-",INDEX(ロジックマスタ!$D$5:$D$56,MATCH(U120,ロジックマスタ!$B$5:$B$56,0),))</f>
        <v>-</v>
      </c>
      <c r="Y120" s="2" t="s">
        <v>132</v>
      </c>
      <c r="Z120" s="1">
        <f>IF(OR(AC117="-",AC118="-"),0,(AC117+AC118)/17)</f>
        <v>2.8235294117647061</v>
      </c>
      <c r="AA120" s="1">
        <f>ROUNDDOWN(MIN(MAX(Z120,0),9),0)</f>
        <v>2</v>
      </c>
      <c r="AB120" s="2" t="str">
        <f>IF(OR(AA120=0,W120="-"),"","＋"&amp;AA120)</f>
        <v/>
      </c>
      <c r="AE120" s="61" t="str">
        <f>IF(U120="-","",INDEX(ロジック形状!$C$5:$C$26,MATCH(AD119,ロジック形状!$B$5:$B$26,0)+1,))</f>
        <v>■□□□</v>
      </c>
    </row>
    <row r="121" spans="2:47" x14ac:dyDescent="0.15">
      <c r="B121" s="40"/>
      <c r="C121" s="40"/>
      <c r="D121" s="38" t="s">
        <v>133</v>
      </c>
      <c r="E121" s="42"/>
      <c r="F121" s="42"/>
      <c r="G121" s="131" t="str">
        <f>U120&amp;AB120</f>
        <v>まんまるドロップ</v>
      </c>
      <c r="H121" s="131"/>
      <c r="I121" s="131"/>
      <c r="J121" s="38" t="s">
        <v>127</v>
      </c>
      <c r="K121" s="42"/>
      <c r="L121" s="43" t="str">
        <f>W120</f>
        <v>-</v>
      </c>
      <c r="M121" s="52"/>
      <c r="N121" s="53"/>
      <c r="O121" s="54"/>
      <c r="P121" s="55"/>
      <c r="Q121" s="59" t="str">
        <f>AE120</f>
        <v>■□□□</v>
      </c>
      <c r="R121" s="60"/>
    </row>
    <row r="123" spans="2:47" x14ac:dyDescent="0.15">
      <c r="B123" s="35" t="s">
        <v>110</v>
      </c>
      <c r="C123" s="36"/>
      <c r="D123" s="36"/>
      <c r="E123" s="36"/>
      <c r="F123" s="36"/>
      <c r="G123" s="36"/>
      <c r="H123" s="36"/>
      <c r="I123" s="36"/>
      <c r="J123" s="36"/>
      <c r="K123" s="36"/>
      <c r="L123" s="36"/>
      <c r="M123" s="36"/>
      <c r="N123" s="36"/>
      <c r="O123" s="36"/>
      <c r="P123" s="36"/>
      <c r="Q123" s="36"/>
      <c r="R123" s="56"/>
      <c r="T123" s="2" t="s">
        <v>117</v>
      </c>
      <c r="U123" s="2" t="str">
        <f t="shared" ref="U123:AB183" si="8">INDEX($A$2:$A$28,COLUMN()-COLUMN($U123)+1,)</f>
        <v>短剣</v>
      </c>
      <c r="V123" s="2" t="str">
        <f t="shared" si="8"/>
        <v>片手剣</v>
      </c>
      <c r="W123" s="2" t="str">
        <f t="shared" si="8"/>
        <v>片手斧</v>
      </c>
      <c r="X123" s="2" t="str">
        <f t="shared" si="8"/>
        <v>両手剣</v>
      </c>
      <c r="Y123" s="2" t="str">
        <f t="shared" si="8"/>
        <v>両手斧</v>
      </c>
      <c r="Z123" s="2" t="str">
        <f t="shared" si="8"/>
        <v>ハンマー</v>
      </c>
      <c r="AA123" s="2" t="str">
        <f t="shared" si="8"/>
        <v>槍</v>
      </c>
      <c r="AB123" s="2" t="str">
        <f t="shared" si="8"/>
        <v>杖</v>
      </c>
      <c r="AC123" s="2" t="str">
        <f t="shared" ref="AC123:AU123" si="9">INDEX($A$2:$A$28,COLUMN()-COLUMN($U123)+1,)</f>
        <v>ナックル</v>
      </c>
      <c r="AD123" s="2" t="str">
        <f t="shared" si="9"/>
        <v>ヌンチャク</v>
      </c>
      <c r="AE123" s="2" t="str">
        <f t="shared" si="9"/>
        <v>弓矢</v>
      </c>
      <c r="AF123" s="2" t="str">
        <f t="shared" si="9"/>
        <v>盾</v>
      </c>
      <c r="AG123" s="2" t="str">
        <f t="shared" si="9"/>
        <v>兜</v>
      </c>
      <c r="AH123" s="2" t="str">
        <f t="shared" si="9"/>
        <v>帽子</v>
      </c>
      <c r="AI123" s="2" t="str">
        <f t="shared" si="9"/>
        <v>鎧</v>
      </c>
      <c r="AJ123" s="2" t="str">
        <f t="shared" si="9"/>
        <v>全身鎧</v>
      </c>
      <c r="AK123" s="2" t="str">
        <f t="shared" si="9"/>
        <v>ローブ</v>
      </c>
      <c r="AL123" s="2" t="str">
        <f t="shared" si="9"/>
        <v>小手</v>
      </c>
      <c r="AM123" s="2" t="str">
        <f t="shared" si="9"/>
        <v>ブーツ</v>
      </c>
      <c r="AN123" s="2" t="str">
        <f t="shared" si="9"/>
        <v>サンダル</v>
      </c>
      <c r="AO123" s="2" t="str">
        <f t="shared" si="9"/>
        <v>マント</v>
      </c>
      <c r="AP123" s="2" t="str">
        <f t="shared" si="9"/>
        <v>リング</v>
      </c>
      <c r="AQ123" s="2" t="str">
        <f t="shared" si="9"/>
        <v>ペンダント</v>
      </c>
      <c r="AR123" s="2" t="str">
        <f t="shared" si="9"/>
        <v>ハープ</v>
      </c>
      <c r="AS123" s="2" t="str">
        <f t="shared" si="9"/>
        <v>マリンバ</v>
      </c>
      <c r="AT123" s="2" t="str">
        <f t="shared" si="9"/>
        <v>フルート</v>
      </c>
      <c r="AU123" s="2" t="str">
        <f t="shared" si="9"/>
        <v>ドラム</v>
      </c>
    </row>
    <row r="124" spans="2:47" x14ac:dyDescent="0.15">
      <c r="B124" s="37"/>
      <c r="C124" s="35" t="s">
        <v>112</v>
      </c>
      <c r="D124" s="36"/>
      <c r="E124" s="36"/>
      <c r="F124" s="36"/>
      <c r="G124" s="36"/>
      <c r="H124" s="36"/>
      <c r="I124" s="36"/>
      <c r="J124" s="36"/>
      <c r="K124" s="44"/>
      <c r="L124" s="44"/>
      <c r="M124" s="44"/>
      <c r="N124" s="44"/>
      <c r="O124" s="44"/>
      <c r="P124" s="36"/>
      <c r="Q124" s="36"/>
      <c r="R124" s="56"/>
      <c r="T124" s="2" t="s">
        <v>110</v>
      </c>
      <c r="U124" s="2" t="str">
        <f>INDEX(ロジックテーブル!$D$6:$AD$32,MATCH($U127,ロジックテーブル!$C$6:$C$32,0),MATCH(U123,ロジックテーブル!$D$5:$AD$5,0))</f>
        <v>-</v>
      </c>
      <c r="V124" s="2" t="str">
        <f>INDEX(ロジックテーブル!$D$6:$AD$32,MATCH($U127,ロジックテーブル!$C$6:$C$32,0),MATCH(V123,ロジックテーブル!$D$5:$AD$5,0))</f>
        <v>-</v>
      </c>
      <c r="W124" s="2" t="str">
        <f>INDEX(ロジックテーブル!$D$6:$AD$32,MATCH($U127,ロジックテーブル!$C$6:$C$32,0),MATCH(W123,ロジックテーブル!$D$5:$AD$5,0))</f>
        <v>-</v>
      </c>
      <c r="X124" s="2" t="str">
        <f>INDEX(ロジックテーブル!$D$6:$AD$32,MATCH($U127,ロジックテーブル!$C$6:$C$32,0),MATCH(X123,ロジックテーブル!$D$5:$AD$5,0))</f>
        <v>-</v>
      </c>
      <c r="Y124" s="2" t="str">
        <f>INDEX(ロジックテーブル!$D$6:$AD$32,MATCH($U127,ロジックテーブル!$C$6:$C$32,0),MATCH(Y123,ロジックテーブル!$D$5:$AD$5,0))</f>
        <v>-</v>
      </c>
      <c r="Z124" s="2" t="str">
        <f>INDEX(ロジックテーブル!$D$6:$AD$32,MATCH($U127,ロジックテーブル!$C$6:$C$32,0),MATCH(Z123,ロジックテーブル!$D$5:$AD$5,0))</f>
        <v>ピコピコハンマー</v>
      </c>
      <c r="AA124" s="2" t="str">
        <f>INDEX(ロジックテーブル!$D$6:$AD$32,MATCH($U127,ロジックテーブル!$C$6:$C$32,0),MATCH(AA123,ロジックテーブル!$D$5:$AD$5,0))</f>
        <v>-</v>
      </c>
      <c r="AB124" s="2" t="str">
        <f>INDEX(ロジックテーブル!$D$6:$AD$32,MATCH($U127,ロジックテーブル!$C$6:$C$32,0),MATCH(AB123,ロジックテーブル!$D$5:$AD$5,0))</f>
        <v>-</v>
      </c>
      <c r="AC124" s="2" t="str">
        <f>INDEX(ロジックテーブル!$D$6:$AD$32,MATCH($U127,ロジックテーブル!$C$6:$C$32,0),MATCH(AC123,ロジックテーブル!$D$5:$AD$5,0))</f>
        <v>トゲ鉄球アッパー</v>
      </c>
      <c r="AD124" s="2" t="str">
        <f>INDEX(ロジックテーブル!$D$6:$AD$32,MATCH($U127,ロジックテーブル!$C$6:$C$32,0),MATCH(AD123,ロジックテーブル!$D$5:$AD$5,0))</f>
        <v>ピコピコハンマー</v>
      </c>
      <c r="AE124" s="2" t="str">
        <f>INDEX(ロジックテーブル!$D$6:$AD$32,MATCH($U127,ロジックテーブル!$C$6:$C$32,0),MATCH(AE123,ロジックテーブル!$D$5:$AD$5,0))</f>
        <v>-</v>
      </c>
      <c r="AF124" s="2" t="str">
        <f>INDEX(ロジックテーブル!$D$6:$AD$32,MATCH($U127,ロジックテーブル!$C$6:$C$32,0),MATCH(AF123,ロジックテーブル!$D$5:$AD$5,0))</f>
        <v>-</v>
      </c>
      <c r="AG124" s="2" t="str">
        <f>INDEX(ロジックテーブル!$D$6:$AD$32,MATCH($U127,ロジックテーブル!$C$6:$C$32,0),MATCH(AG123,ロジックテーブル!$D$5:$AD$5,0))</f>
        <v>トゲ鉄球雨あられ</v>
      </c>
      <c r="AH124" s="2" t="str">
        <f>INDEX(ロジックテーブル!$D$6:$AD$32,MATCH($U127,ロジックテーブル!$C$6:$C$32,0),MATCH(AH123,ロジックテーブル!$D$5:$AD$5,0))</f>
        <v>トゲ鉄球雨あられ</v>
      </c>
      <c r="AI124" s="2" t="str">
        <f>INDEX(ロジックテーブル!$D$6:$AD$32,MATCH($U127,ロジックテーブル!$C$6:$C$32,0),MATCH(AI123,ロジックテーブル!$D$5:$AD$5,0))</f>
        <v>-</v>
      </c>
      <c r="AJ124" s="2" t="str">
        <f>INDEX(ロジックテーブル!$D$6:$AD$32,MATCH($U127,ロジックテーブル!$C$6:$C$32,0),MATCH(AJ123,ロジックテーブル!$D$5:$AD$5,0))</f>
        <v>-</v>
      </c>
      <c r="AK124" s="2" t="str">
        <f>INDEX(ロジックテーブル!$D$6:$AD$32,MATCH($U127,ロジックテーブル!$C$6:$C$32,0),MATCH(AK123,ロジックテーブル!$D$5:$AD$5,0))</f>
        <v>大車輪トゲ鉄球</v>
      </c>
      <c r="AL124" s="2" t="str">
        <f>INDEX(ロジックテーブル!$D$6:$AD$32,MATCH($U127,ロジックテーブル!$C$6:$C$32,0),MATCH(AL123,ロジックテーブル!$D$5:$AD$5,0))</f>
        <v>-</v>
      </c>
      <c r="AM124" s="2" t="str">
        <f>INDEX(ロジックテーブル!$D$6:$AD$32,MATCH($U127,ロジックテーブル!$C$6:$C$32,0),MATCH(AM123,ロジックテーブル!$D$5:$AD$5,0))</f>
        <v>-</v>
      </c>
      <c r="AN124" s="2" t="str">
        <f>INDEX(ロジックテーブル!$D$6:$AD$32,MATCH($U127,ロジックテーブル!$C$6:$C$32,0),MATCH(AN123,ロジックテーブル!$D$5:$AD$5,0))</f>
        <v>-</v>
      </c>
      <c r="AO124" s="2" t="str">
        <f>INDEX(ロジックテーブル!$D$6:$AD$32,MATCH($U127,ロジックテーブル!$C$6:$C$32,0),MATCH(AO123,ロジックテーブル!$D$5:$AD$5,0))</f>
        <v>大車輪トゲ鉄球</v>
      </c>
      <c r="AP124" s="2" t="str">
        <f>INDEX(ロジックテーブル!$D$6:$AD$32,MATCH($U127,ロジックテーブル!$C$6:$C$32,0),MATCH(AP123,ロジックテーブル!$D$5:$AD$5,0))</f>
        <v>まんまるドロップ</v>
      </c>
      <c r="AQ124" s="2" t="str">
        <f>INDEX(ロジックテーブル!$D$6:$AD$32,MATCH($U127,ロジックテーブル!$C$6:$C$32,0),MATCH(AQ123,ロジックテーブル!$D$5:$AD$5,0))</f>
        <v>まんまるドロップ</v>
      </c>
      <c r="AR124" s="2" t="str">
        <f>INDEX(ロジックテーブル!$D$6:$AD$32,MATCH($U127,ロジックテーブル!$C$6:$C$32,0),MATCH(AR123,ロジックテーブル!$D$5:$AD$5,0))</f>
        <v>-</v>
      </c>
      <c r="AS124" s="2" t="str">
        <f>INDEX(ロジックテーブル!$D$6:$AD$32,MATCH($U127,ロジックテーブル!$C$6:$C$32,0),MATCH(AS123,ロジックテーブル!$D$5:$AD$5,0))</f>
        <v>-</v>
      </c>
      <c r="AT124" s="2" t="str">
        <f>INDEX(ロジックテーブル!$D$6:$AD$32,MATCH($U127,ロジックテーブル!$C$6:$C$32,0),MATCH(AT123,ロジックテーブル!$D$5:$AD$5,0))</f>
        <v>-</v>
      </c>
      <c r="AU124" s="2" t="str">
        <f>INDEX(ロジックテーブル!$D$6:$AD$32,MATCH($U127,ロジックテーブル!$C$6:$C$32,0),MATCH(AU123,ロジックテーブル!$D$5:$AD$5,0))</f>
        <v>-</v>
      </c>
    </row>
    <row r="125" spans="2:47" x14ac:dyDescent="0.15">
      <c r="B125" s="37"/>
      <c r="C125" s="37"/>
      <c r="D125" s="38" t="s">
        <v>113</v>
      </c>
      <c r="E125" s="129" t="s">
        <v>79</v>
      </c>
      <c r="F125" s="129"/>
      <c r="G125" s="129"/>
      <c r="H125" s="38" t="s">
        <v>115</v>
      </c>
      <c r="I125" s="45"/>
      <c r="J125" s="129" t="s">
        <v>116</v>
      </c>
      <c r="K125" s="129"/>
      <c r="L125" s="129"/>
      <c r="M125" s="42"/>
      <c r="N125" s="42"/>
      <c r="O125" s="42"/>
      <c r="P125" s="42"/>
      <c r="Q125" s="42"/>
      <c r="R125" s="45"/>
      <c r="T125" s="2" t="s">
        <v>139</v>
      </c>
      <c r="U125" s="2" t="str">
        <f t="shared" ref="U125:AB125" si="10">U123&amp;"_"&amp;IF(U124="-","(無効)","(有効)")</f>
        <v>短剣_(無効)</v>
      </c>
      <c r="V125" s="2" t="str">
        <f t="shared" si="10"/>
        <v>片手剣_(無効)</v>
      </c>
      <c r="W125" s="2" t="str">
        <f t="shared" si="10"/>
        <v>片手斧_(無効)</v>
      </c>
      <c r="X125" s="2" t="str">
        <f t="shared" si="10"/>
        <v>両手剣_(無効)</v>
      </c>
      <c r="Y125" s="2" t="str">
        <f t="shared" si="10"/>
        <v>両手斧_(無効)</v>
      </c>
      <c r="Z125" s="2" t="str">
        <f t="shared" si="10"/>
        <v>ハンマー_(有効)</v>
      </c>
      <c r="AA125" s="2" t="str">
        <f t="shared" si="10"/>
        <v>槍_(無効)</v>
      </c>
      <c r="AB125" s="2" t="str">
        <f t="shared" si="10"/>
        <v>杖_(無効)</v>
      </c>
      <c r="AC125" s="2" t="str">
        <f t="shared" ref="AC125:AU125" si="11">AC123&amp;"_"&amp;IF(AC124="-","(無効)","(有効)")</f>
        <v>ナックル_(有効)</v>
      </c>
      <c r="AD125" s="2" t="str">
        <f t="shared" si="11"/>
        <v>ヌンチャク_(有効)</v>
      </c>
      <c r="AE125" s="2" t="str">
        <f t="shared" si="11"/>
        <v>弓矢_(無効)</v>
      </c>
      <c r="AF125" s="2" t="str">
        <f t="shared" si="11"/>
        <v>盾_(無効)</v>
      </c>
      <c r="AG125" s="2" t="str">
        <f t="shared" si="11"/>
        <v>兜_(有効)</v>
      </c>
      <c r="AH125" s="2" t="str">
        <f t="shared" si="11"/>
        <v>帽子_(有効)</v>
      </c>
      <c r="AI125" s="2" t="str">
        <f t="shared" si="11"/>
        <v>鎧_(無効)</v>
      </c>
      <c r="AJ125" s="2" t="str">
        <f t="shared" si="11"/>
        <v>全身鎧_(無効)</v>
      </c>
      <c r="AK125" s="2" t="str">
        <f t="shared" si="11"/>
        <v>ローブ_(有効)</v>
      </c>
      <c r="AL125" s="2" t="str">
        <f t="shared" si="11"/>
        <v>小手_(無効)</v>
      </c>
      <c r="AM125" s="2" t="str">
        <f t="shared" si="11"/>
        <v>ブーツ_(無効)</v>
      </c>
      <c r="AN125" s="2" t="str">
        <f t="shared" si="11"/>
        <v>サンダル_(無効)</v>
      </c>
      <c r="AO125" s="2" t="str">
        <f t="shared" si="11"/>
        <v>マント_(有効)</v>
      </c>
      <c r="AP125" s="2" t="str">
        <f t="shared" si="11"/>
        <v>リング_(有効)</v>
      </c>
      <c r="AQ125" s="2" t="str">
        <f t="shared" si="11"/>
        <v>ペンダント_(有効)</v>
      </c>
      <c r="AR125" s="2" t="str">
        <f t="shared" si="11"/>
        <v>ハープ_(無効)</v>
      </c>
      <c r="AS125" s="2" t="str">
        <f t="shared" si="11"/>
        <v>マリンバ_(無効)</v>
      </c>
      <c r="AT125" s="2" t="str">
        <f t="shared" si="11"/>
        <v>フルート_(無効)</v>
      </c>
      <c r="AU125" s="2" t="str">
        <f t="shared" si="11"/>
        <v>ドラム_(無効)</v>
      </c>
    </row>
    <row r="126" spans="2:47" x14ac:dyDescent="0.15">
      <c r="B126" s="37"/>
      <c r="C126" s="40"/>
      <c r="D126" s="130" t="s">
        <v>73</v>
      </c>
      <c r="E126" s="129"/>
      <c r="F126" s="129"/>
      <c r="G126" s="129"/>
      <c r="H126" s="38" t="str">
        <f>IF(ISERROR(MATCH(U127,$AF123:$AQ123,0)),"攻撃力","防御力合計")</f>
        <v>攻撃力</v>
      </c>
      <c r="I126" s="45"/>
      <c r="J126" s="46">
        <v>37</v>
      </c>
      <c r="K126" s="47" t="str">
        <f>IF(H126="防御力合計","叩防","")</f>
        <v/>
      </c>
      <c r="L126" s="48"/>
      <c r="M126" s="47" t="str">
        <f>IF(H126="防御力合計","斬防","")</f>
        <v/>
      </c>
      <c r="N126" s="48"/>
      <c r="O126" s="47" t="str">
        <f>IF(H126="防御力合計","突防","")</f>
        <v/>
      </c>
      <c r="P126" s="48"/>
      <c r="Q126" s="47" t="str">
        <f>IF(H126="防御力合計","魔防","")</f>
        <v/>
      </c>
      <c r="R126" s="46"/>
      <c r="U126" s="2" t="s">
        <v>113</v>
      </c>
      <c r="W126" s="2" t="s">
        <v>115</v>
      </c>
      <c r="Z126" s="2" t="s">
        <v>118</v>
      </c>
      <c r="AA126" s="2" t="s">
        <v>119</v>
      </c>
      <c r="AC126" s="2" t="s">
        <v>120</v>
      </c>
      <c r="AD126" s="2" t="s">
        <v>121</v>
      </c>
    </row>
    <row r="127" spans="2:47" x14ac:dyDescent="0.15">
      <c r="B127" s="37"/>
      <c r="C127" s="35" t="s">
        <v>122</v>
      </c>
      <c r="D127" s="36"/>
      <c r="E127" s="36"/>
      <c r="F127" s="36"/>
      <c r="G127" s="36"/>
      <c r="H127" s="36"/>
      <c r="I127" s="36"/>
      <c r="J127" s="36"/>
      <c r="K127" s="36"/>
      <c r="L127" s="36"/>
      <c r="M127" s="44"/>
      <c r="N127" s="44"/>
      <c r="O127" s="44"/>
      <c r="P127" s="36"/>
      <c r="Q127" s="36"/>
      <c r="R127" s="56"/>
      <c r="T127" s="2" t="s">
        <v>140</v>
      </c>
      <c r="U127" s="2" t="str">
        <f t="shared" ref="U127" si="12">E125</f>
        <v>ハンマー</v>
      </c>
      <c r="W127" s="2" t="str">
        <f t="shared" ref="W127" si="13">J125</f>
        <v>アストリア銀</v>
      </c>
      <c r="Y127" s="2" t="str">
        <f t="shared" ref="Y127" si="14">H126</f>
        <v>攻撃力</v>
      </c>
      <c r="Z127" s="1">
        <f t="shared" ref="Z127" si="15">IF(ISBLANK(J126),"-",J126)</f>
        <v>37</v>
      </c>
      <c r="AA127" s="2" t="str">
        <f t="shared" ref="AA127" si="16">IF(OR(ISBLANK(L126),ISBLANK(N126),ISBLANK(P126),ISBLANK(R126)),"-",SUM(K126:R126))</f>
        <v>-</v>
      </c>
      <c r="AB127" s="2" t="str">
        <f t="shared" ref="AB127" si="17">D126</f>
        <v>防御力個別入力で計算</v>
      </c>
      <c r="AC127" s="1">
        <f>IF(OR(Y127="攻撃力",AB127="防御力合計で計算"),Z127,AA127)</f>
        <v>37</v>
      </c>
      <c r="AD127" s="1">
        <f>INDEX(主原料マスタ!$D$5:$D$59,MATCH(W127,主原料マスタ!$B$5:$B$59,0))</f>
        <v>4</v>
      </c>
    </row>
    <row r="128" spans="2:47" x14ac:dyDescent="0.15">
      <c r="B128" s="37"/>
      <c r="C128" s="37"/>
      <c r="D128" s="41" t="s">
        <v>113</v>
      </c>
      <c r="E128" s="129" t="s">
        <v>141</v>
      </c>
      <c r="F128" s="129"/>
      <c r="G128" s="129"/>
      <c r="H128" s="38" t="s">
        <v>115</v>
      </c>
      <c r="I128" s="45"/>
      <c r="J128" s="129" t="s">
        <v>142</v>
      </c>
      <c r="K128" s="129"/>
      <c r="L128" s="129"/>
      <c r="M128" s="42"/>
      <c r="N128" s="42"/>
      <c r="O128" s="42"/>
      <c r="P128" s="42"/>
      <c r="Q128" s="42"/>
      <c r="R128" s="45"/>
      <c r="T128" s="2" t="s">
        <v>143</v>
      </c>
      <c r="U128" s="2" t="str">
        <f t="shared" ref="U128" si="18">E128</f>
        <v>兜_(有効)</v>
      </c>
      <c r="V128" s="2" t="str">
        <f t="shared" ref="V128" si="19">LEFT(U128,FIND("_",U128)-1)</f>
        <v>兜</v>
      </c>
      <c r="W128" s="2" t="str">
        <f t="shared" ref="W128" si="20">J128</f>
        <v>化石</v>
      </c>
      <c r="Y128" s="2" t="str">
        <f t="shared" ref="Y128" si="21">H129</f>
        <v>防御力合計</v>
      </c>
      <c r="Z128" s="2" t="str">
        <f t="shared" ref="Z128" si="22">IF(ISBLANK(J129),"-",J129)</f>
        <v>-</v>
      </c>
      <c r="AA128" s="1">
        <f t="shared" ref="AA128" si="23">IF(OR(ISBLANK(L129),ISBLANK(N129),ISBLANK(P129),ISBLANK(R129)),"-",SUM(K129:R129))</f>
        <v>18</v>
      </c>
      <c r="AB128" s="2" t="str">
        <f t="shared" ref="AB128" si="24">D129</f>
        <v>防御力個別入力で計算</v>
      </c>
      <c r="AC128" s="1">
        <f>IF(OR(Y128="攻撃力",AB128="防御力合計で計算"),Z128,AA128)</f>
        <v>18</v>
      </c>
      <c r="AD128" s="1">
        <f>INDEX(主原料マスタ!$D$5:$D$59,MATCH(W128,主原料マスタ!$B$5:$B$59,0))</f>
        <v>6</v>
      </c>
    </row>
    <row r="129" spans="2:47" x14ac:dyDescent="0.15">
      <c r="B129" s="37"/>
      <c r="C129" s="40"/>
      <c r="D129" s="130" t="s">
        <v>73</v>
      </c>
      <c r="E129" s="129"/>
      <c r="F129" s="129"/>
      <c r="G129" s="129"/>
      <c r="H129" s="38" t="str">
        <f>IF(ISERROR(MATCH(V128,$AF123:$AQ123,0)),"攻撃力","防御力合計")</f>
        <v>防御力合計</v>
      </c>
      <c r="I129" s="45"/>
      <c r="J129" s="46"/>
      <c r="K129" s="47" t="str">
        <f>IF(H129="防御力合計","叩防","")</f>
        <v>叩防</v>
      </c>
      <c r="L129" s="48">
        <v>6</v>
      </c>
      <c r="M129" s="47" t="str">
        <f>IF(H129="防御力合計","斬防","")</f>
        <v>斬防</v>
      </c>
      <c r="N129" s="48">
        <v>8</v>
      </c>
      <c r="O129" s="47" t="str">
        <f>IF(H129="防御力合計","突防","")</f>
        <v>突防</v>
      </c>
      <c r="P129" s="48">
        <v>3</v>
      </c>
      <c r="Q129" s="47" t="str">
        <f>IF(H129="防御力合計","魔防","")</f>
        <v>魔防</v>
      </c>
      <c r="R129" s="46">
        <v>1</v>
      </c>
      <c r="W129" s="2" t="s">
        <v>127</v>
      </c>
      <c r="Z129" s="2" t="s">
        <v>128</v>
      </c>
      <c r="AA129" s="2" t="s">
        <v>102</v>
      </c>
      <c r="AB129" s="2" t="s">
        <v>129</v>
      </c>
      <c r="AD129" s="1">
        <f>MOD(AD127+AD128,11)</f>
        <v>10</v>
      </c>
      <c r="AE129" s="61" t="str">
        <f>IF(U130="-","",INDEX(ロジック形状!$C$5:$C$26,MATCH(AD129,ロジック形状!$B$5:$B$26,0),))</f>
        <v>□■■□</v>
      </c>
    </row>
    <row r="130" spans="2:47" x14ac:dyDescent="0.15">
      <c r="B130" s="37"/>
      <c r="C130" s="35" t="s">
        <v>130</v>
      </c>
      <c r="D130" s="36"/>
      <c r="E130" s="36"/>
      <c r="F130" s="36"/>
      <c r="G130" s="36"/>
      <c r="H130" s="36"/>
      <c r="I130" s="36"/>
      <c r="J130" s="36"/>
      <c r="K130" s="36"/>
      <c r="L130" s="36"/>
      <c r="M130" s="36"/>
      <c r="N130" s="49" t="s">
        <v>131</v>
      </c>
      <c r="O130" s="50"/>
      <c r="P130" s="51"/>
      <c r="Q130" s="57" t="str">
        <f>AE129</f>
        <v>□■■□</v>
      </c>
      <c r="R130" s="58"/>
      <c r="T130" s="2" t="s">
        <v>110</v>
      </c>
      <c r="U130" s="2" t="str">
        <f t="shared" ref="U130" si="25">INDEX(U124:AU124,,MATCH(V128,U123:AU123,0))</f>
        <v>トゲ鉄球雨あられ</v>
      </c>
      <c r="W130" s="2" t="str">
        <f>IF(U130="-","-",INDEX(ロジックマスタ!$D$5:$D$56,MATCH(U130,ロジックマスタ!$B$5:$B$56,0),))</f>
        <v>C</v>
      </c>
      <c r="Y130" s="2" t="s">
        <v>132</v>
      </c>
      <c r="Z130" s="1">
        <f t="shared" ref="Z130" si="26">IF(OR(AC127="-",AC128="-"),0,(AC127+AC128)/17)</f>
        <v>3.2352941176470589</v>
      </c>
      <c r="AA130" s="1">
        <f t="shared" ref="AA130" si="27">ROUNDDOWN(MIN(MAX(Z130,0),9),0)</f>
        <v>3</v>
      </c>
      <c r="AB130" s="2" t="str">
        <f t="shared" ref="AB130" si="28">IF(OR(AA130=0,W130="-"),"","＋"&amp;AA130)</f>
        <v>＋3</v>
      </c>
      <c r="AE130" s="61" t="str">
        <f>IF(U130="-","",INDEX(ロジック形状!$C$5:$C$26,MATCH(AD129,ロジック形状!$B$5:$B$26,0)+1,))</f>
        <v>□■■□</v>
      </c>
    </row>
    <row r="131" spans="2:47" x14ac:dyDescent="0.15">
      <c r="B131" s="40"/>
      <c r="C131" s="40"/>
      <c r="D131" s="38" t="s">
        <v>133</v>
      </c>
      <c r="E131" s="42"/>
      <c r="F131" s="42"/>
      <c r="G131" s="131" t="str">
        <f>U130&amp;AB130</f>
        <v>トゲ鉄球雨あられ＋3</v>
      </c>
      <c r="H131" s="131"/>
      <c r="I131" s="131"/>
      <c r="J131" s="38" t="s">
        <v>127</v>
      </c>
      <c r="K131" s="42"/>
      <c r="L131" s="43" t="str">
        <f>W130</f>
        <v>C</v>
      </c>
      <c r="M131" s="52"/>
      <c r="N131" s="53"/>
      <c r="O131" s="54"/>
      <c r="P131" s="55"/>
      <c r="Q131" s="59" t="str">
        <f>AE130</f>
        <v>□■■□</v>
      </c>
      <c r="R131" s="60"/>
    </row>
    <row r="133" spans="2:47" x14ac:dyDescent="0.15">
      <c r="B133" s="35" t="s">
        <v>110</v>
      </c>
      <c r="C133" s="36"/>
      <c r="D133" s="36"/>
      <c r="E133" s="36"/>
      <c r="F133" s="36"/>
      <c r="G133" s="36"/>
      <c r="H133" s="36"/>
      <c r="I133" s="36"/>
      <c r="J133" s="36"/>
      <c r="K133" s="36"/>
      <c r="L133" s="36"/>
      <c r="M133" s="36"/>
      <c r="N133" s="36"/>
      <c r="O133" s="36"/>
      <c r="P133" s="36"/>
      <c r="Q133" s="36"/>
      <c r="R133" s="56"/>
      <c r="T133" s="2" t="s">
        <v>139</v>
      </c>
      <c r="U133" s="2" t="str">
        <f t="shared" si="8"/>
        <v>短剣</v>
      </c>
      <c r="V133" s="2" t="str">
        <f t="shared" si="8"/>
        <v>片手剣</v>
      </c>
      <c r="W133" s="2" t="str">
        <f t="shared" si="8"/>
        <v>片手斧</v>
      </c>
      <c r="X133" s="2" t="str">
        <f t="shared" si="8"/>
        <v>両手剣</v>
      </c>
      <c r="Y133" s="2" t="str">
        <f t="shared" si="8"/>
        <v>両手斧</v>
      </c>
      <c r="Z133" s="2" t="str">
        <f t="shared" si="8"/>
        <v>ハンマー</v>
      </c>
      <c r="AA133" s="2" t="str">
        <f t="shared" si="8"/>
        <v>槍</v>
      </c>
      <c r="AB133" s="2" t="str">
        <f t="shared" si="8"/>
        <v>杖</v>
      </c>
      <c r="AC133" s="2" t="str">
        <f t="shared" ref="AC133:AU133" si="29">INDEX($A$2:$A$28,COLUMN()-COLUMN($U133)+1,)</f>
        <v>ナックル</v>
      </c>
      <c r="AD133" s="2" t="str">
        <f t="shared" si="29"/>
        <v>ヌンチャク</v>
      </c>
      <c r="AE133" s="2" t="str">
        <f t="shared" si="29"/>
        <v>弓矢</v>
      </c>
      <c r="AF133" s="2" t="str">
        <f t="shared" si="29"/>
        <v>盾</v>
      </c>
      <c r="AG133" s="2" t="str">
        <f t="shared" si="29"/>
        <v>兜</v>
      </c>
      <c r="AH133" s="2" t="str">
        <f t="shared" si="29"/>
        <v>帽子</v>
      </c>
      <c r="AI133" s="2" t="str">
        <f t="shared" si="29"/>
        <v>鎧</v>
      </c>
      <c r="AJ133" s="2" t="str">
        <f t="shared" si="29"/>
        <v>全身鎧</v>
      </c>
      <c r="AK133" s="2" t="str">
        <f t="shared" si="29"/>
        <v>ローブ</v>
      </c>
      <c r="AL133" s="2" t="str">
        <f t="shared" si="29"/>
        <v>小手</v>
      </c>
      <c r="AM133" s="2" t="str">
        <f t="shared" si="29"/>
        <v>ブーツ</v>
      </c>
      <c r="AN133" s="2" t="str">
        <f t="shared" si="29"/>
        <v>サンダル</v>
      </c>
      <c r="AO133" s="2" t="str">
        <f t="shared" si="29"/>
        <v>マント</v>
      </c>
      <c r="AP133" s="2" t="str">
        <f t="shared" si="29"/>
        <v>リング</v>
      </c>
      <c r="AQ133" s="2" t="str">
        <f t="shared" si="29"/>
        <v>ペンダント</v>
      </c>
      <c r="AR133" s="2" t="str">
        <f t="shared" si="29"/>
        <v>ハープ</v>
      </c>
      <c r="AS133" s="2" t="str">
        <f t="shared" si="29"/>
        <v>マリンバ</v>
      </c>
      <c r="AT133" s="2" t="str">
        <f t="shared" si="29"/>
        <v>フルート</v>
      </c>
      <c r="AU133" s="2" t="str">
        <f t="shared" si="29"/>
        <v>ドラム</v>
      </c>
    </row>
    <row r="134" spans="2:47" x14ac:dyDescent="0.15">
      <c r="B134" s="37"/>
      <c r="C134" s="35" t="s">
        <v>112</v>
      </c>
      <c r="D134" s="36"/>
      <c r="E134" s="36"/>
      <c r="F134" s="36"/>
      <c r="G134" s="36"/>
      <c r="H134" s="36"/>
      <c r="I134" s="36"/>
      <c r="J134" s="36"/>
      <c r="K134" s="44"/>
      <c r="L134" s="44"/>
      <c r="M134" s="44"/>
      <c r="N134" s="44"/>
      <c r="O134" s="44"/>
      <c r="P134" s="36"/>
      <c r="Q134" s="36"/>
      <c r="R134" s="56"/>
      <c r="T134" s="2" t="s">
        <v>110</v>
      </c>
      <c r="U134" s="2" t="str">
        <f>INDEX(ロジックテーブル!$D$6:$AD$32,MATCH($U137,ロジックテーブル!$C$6:$C$32,0),MATCH(U133,ロジックテーブル!$D$5:$AD$5,0))</f>
        <v>-</v>
      </c>
      <c r="V134" s="2" t="str">
        <f>INDEX(ロジックテーブル!$D$6:$AD$32,MATCH($U137,ロジックテーブル!$C$6:$C$32,0),MATCH(V133,ロジックテーブル!$D$5:$AD$5,0))</f>
        <v>-</v>
      </c>
      <c r="W134" s="2" t="str">
        <f>INDEX(ロジックテーブル!$D$6:$AD$32,MATCH($U137,ロジックテーブル!$C$6:$C$32,0),MATCH(W133,ロジックテーブル!$D$5:$AD$5,0))</f>
        <v>-</v>
      </c>
      <c r="X134" s="2" t="str">
        <f>INDEX(ロジックテーブル!$D$6:$AD$32,MATCH($U137,ロジックテーブル!$C$6:$C$32,0),MATCH(X133,ロジックテーブル!$D$5:$AD$5,0))</f>
        <v>-</v>
      </c>
      <c r="Y134" s="2" t="str">
        <f>INDEX(ロジックテーブル!$D$6:$AD$32,MATCH($U137,ロジックテーブル!$C$6:$C$32,0),MATCH(Y133,ロジックテーブル!$D$5:$AD$5,0))</f>
        <v>-</v>
      </c>
      <c r="Z134" s="2" t="str">
        <f>INDEX(ロジックテーブル!$D$6:$AD$32,MATCH($U137,ロジックテーブル!$C$6:$C$32,0),MATCH(Z133,ロジックテーブル!$D$5:$AD$5,0))</f>
        <v>ピコピコハンマー</v>
      </c>
      <c r="AA134" s="2" t="str">
        <f>INDEX(ロジックテーブル!$D$6:$AD$32,MATCH($U137,ロジックテーブル!$C$6:$C$32,0),MATCH(AA133,ロジックテーブル!$D$5:$AD$5,0))</f>
        <v>-</v>
      </c>
      <c r="AB134" s="2" t="str">
        <f>INDEX(ロジックテーブル!$D$6:$AD$32,MATCH($U137,ロジックテーブル!$C$6:$C$32,0),MATCH(AB133,ロジックテーブル!$D$5:$AD$5,0))</f>
        <v>-</v>
      </c>
      <c r="AC134" s="2" t="str">
        <f>INDEX(ロジックテーブル!$D$6:$AD$32,MATCH($U137,ロジックテーブル!$C$6:$C$32,0),MATCH(AC133,ロジックテーブル!$D$5:$AD$5,0))</f>
        <v>トゲ鉄球アッパー</v>
      </c>
      <c r="AD134" s="2" t="str">
        <f>INDEX(ロジックテーブル!$D$6:$AD$32,MATCH($U137,ロジックテーブル!$C$6:$C$32,0),MATCH(AD133,ロジックテーブル!$D$5:$AD$5,0))</f>
        <v>ピコピコハンマー</v>
      </c>
      <c r="AE134" s="2" t="str">
        <f>INDEX(ロジックテーブル!$D$6:$AD$32,MATCH($U137,ロジックテーブル!$C$6:$C$32,0),MATCH(AE133,ロジックテーブル!$D$5:$AD$5,0))</f>
        <v>-</v>
      </c>
      <c r="AF134" s="2" t="str">
        <f>INDEX(ロジックテーブル!$D$6:$AD$32,MATCH($U137,ロジックテーブル!$C$6:$C$32,0),MATCH(AF133,ロジックテーブル!$D$5:$AD$5,0))</f>
        <v>-</v>
      </c>
      <c r="AG134" s="2" t="str">
        <f>INDEX(ロジックテーブル!$D$6:$AD$32,MATCH($U137,ロジックテーブル!$C$6:$C$32,0),MATCH(AG133,ロジックテーブル!$D$5:$AD$5,0))</f>
        <v>トゲ鉄球雨あられ</v>
      </c>
      <c r="AH134" s="2" t="str">
        <f>INDEX(ロジックテーブル!$D$6:$AD$32,MATCH($U137,ロジックテーブル!$C$6:$C$32,0),MATCH(AH133,ロジックテーブル!$D$5:$AD$5,0))</f>
        <v>トゲ鉄球雨あられ</v>
      </c>
      <c r="AI134" s="2" t="str">
        <f>INDEX(ロジックテーブル!$D$6:$AD$32,MATCH($U137,ロジックテーブル!$C$6:$C$32,0),MATCH(AI133,ロジックテーブル!$D$5:$AD$5,0))</f>
        <v>-</v>
      </c>
      <c r="AJ134" s="2" t="str">
        <f>INDEX(ロジックテーブル!$D$6:$AD$32,MATCH($U137,ロジックテーブル!$C$6:$C$32,0),MATCH(AJ133,ロジックテーブル!$D$5:$AD$5,0))</f>
        <v>-</v>
      </c>
      <c r="AK134" s="2" t="str">
        <f>INDEX(ロジックテーブル!$D$6:$AD$32,MATCH($U137,ロジックテーブル!$C$6:$C$32,0),MATCH(AK133,ロジックテーブル!$D$5:$AD$5,0))</f>
        <v>大車輪トゲ鉄球</v>
      </c>
      <c r="AL134" s="2" t="str">
        <f>INDEX(ロジックテーブル!$D$6:$AD$32,MATCH($U137,ロジックテーブル!$C$6:$C$32,0),MATCH(AL133,ロジックテーブル!$D$5:$AD$5,0))</f>
        <v>-</v>
      </c>
      <c r="AM134" s="2" t="str">
        <f>INDEX(ロジックテーブル!$D$6:$AD$32,MATCH($U137,ロジックテーブル!$C$6:$C$32,0),MATCH(AM133,ロジックテーブル!$D$5:$AD$5,0))</f>
        <v>-</v>
      </c>
      <c r="AN134" s="2" t="str">
        <f>INDEX(ロジックテーブル!$D$6:$AD$32,MATCH($U137,ロジックテーブル!$C$6:$C$32,0),MATCH(AN133,ロジックテーブル!$D$5:$AD$5,0))</f>
        <v>-</v>
      </c>
      <c r="AO134" s="2" t="str">
        <f>INDEX(ロジックテーブル!$D$6:$AD$32,MATCH($U137,ロジックテーブル!$C$6:$C$32,0),MATCH(AO133,ロジックテーブル!$D$5:$AD$5,0))</f>
        <v>大車輪トゲ鉄球</v>
      </c>
      <c r="AP134" s="2" t="str">
        <f>INDEX(ロジックテーブル!$D$6:$AD$32,MATCH($U137,ロジックテーブル!$C$6:$C$32,0),MATCH(AP133,ロジックテーブル!$D$5:$AD$5,0))</f>
        <v>まんまるドロップ</v>
      </c>
      <c r="AQ134" s="2" t="str">
        <f>INDEX(ロジックテーブル!$D$6:$AD$32,MATCH($U137,ロジックテーブル!$C$6:$C$32,0),MATCH(AQ133,ロジックテーブル!$D$5:$AD$5,0))</f>
        <v>まんまるドロップ</v>
      </c>
      <c r="AR134" s="2" t="str">
        <f>INDEX(ロジックテーブル!$D$6:$AD$32,MATCH($U137,ロジックテーブル!$C$6:$C$32,0),MATCH(AR133,ロジックテーブル!$D$5:$AD$5,0))</f>
        <v>-</v>
      </c>
      <c r="AS134" s="2" t="str">
        <f>INDEX(ロジックテーブル!$D$6:$AD$32,MATCH($U137,ロジックテーブル!$C$6:$C$32,0),MATCH(AS133,ロジックテーブル!$D$5:$AD$5,0))</f>
        <v>-</v>
      </c>
      <c r="AT134" s="2" t="str">
        <f>INDEX(ロジックテーブル!$D$6:$AD$32,MATCH($U137,ロジックテーブル!$C$6:$C$32,0),MATCH(AT133,ロジックテーブル!$D$5:$AD$5,0))</f>
        <v>-</v>
      </c>
      <c r="AU134" s="2" t="str">
        <f>INDEX(ロジックテーブル!$D$6:$AD$32,MATCH($U137,ロジックテーブル!$C$6:$C$32,0),MATCH(AU133,ロジックテーブル!$D$5:$AD$5,0))</f>
        <v>-</v>
      </c>
    </row>
    <row r="135" spans="2:47" x14ac:dyDescent="0.15">
      <c r="B135" s="37"/>
      <c r="C135" s="37"/>
      <c r="D135" s="38" t="s">
        <v>113</v>
      </c>
      <c r="E135" s="129" t="s">
        <v>79</v>
      </c>
      <c r="F135" s="129"/>
      <c r="G135" s="129"/>
      <c r="H135" s="38" t="s">
        <v>115</v>
      </c>
      <c r="I135" s="45"/>
      <c r="J135" s="129" t="s">
        <v>116</v>
      </c>
      <c r="K135" s="129"/>
      <c r="L135" s="129"/>
      <c r="M135" s="42"/>
      <c r="N135" s="42"/>
      <c r="O135" s="42"/>
      <c r="P135" s="42"/>
      <c r="Q135" s="42"/>
      <c r="R135" s="45"/>
      <c r="T135" s="2" t="s">
        <v>144</v>
      </c>
      <c r="U135" s="2" t="str">
        <f t="shared" ref="U135:AB135" si="30">U133&amp;"_"&amp;IF(U134="-","(無効)","(有効)")</f>
        <v>短剣_(無効)</v>
      </c>
      <c r="V135" s="2" t="str">
        <f t="shared" si="30"/>
        <v>片手剣_(無効)</v>
      </c>
      <c r="W135" s="2" t="str">
        <f t="shared" si="30"/>
        <v>片手斧_(無効)</v>
      </c>
      <c r="X135" s="2" t="str">
        <f t="shared" si="30"/>
        <v>両手剣_(無効)</v>
      </c>
      <c r="Y135" s="2" t="str">
        <f t="shared" si="30"/>
        <v>両手斧_(無効)</v>
      </c>
      <c r="Z135" s="2" t="str">
        <f t="shared" si="30"/>
        <v>ハンマー_(有効)</v>
      </c>
      <c r="AA135" s="2" t="str">
        <f t="shared" si="30"/>
        <v>槍_(無効)</v>
      </c>
      <c r="AB135" s="2" t="str">
        <f t="shared" si="30"/>
        <v>杖_(無効)</v>
      </c>
      <c r="AC135" s="2" t="str">
        <f t="shared" ref="AC135:AU135" si="31">AC133&amp;"_"&amp;IF(AC134="-","(無効)","(有効)")</f>
        <v>ナックル_(有効)</v>
      </c>
      <c r="AD135" s="2" t="str">
        <f t="shared" si="31"/>
        <v>ヌンチャク_(有効)</v>
      </c>
      <c r="AE135" s="2" t="str">
        <f t="shared" si="31"/>
        <v>弓矢_(無効)</v>
      </c>
      <c r="AF135" s="2" t="str">
        <f t="shared" si="31"/>
        <v>盾_(無効)</v>
      </c>
      <c r="AG135" s="2" t="str">
        <f t="shared" si="31"/>
        <v>兜_(有効)</v>
      </c>
      <c r="AH135" s="2" t="str">
        <f t="shared" si="31"/>
        <v>帽子_(有効)</v>
      </c>
      <c r="AI135" s="2" t="str">
        <f t="shared" si="31"/>
        <v>鎧_(無効)</v>
      </c>
      <c r="AJ135" s="2" t="str">
        <f t="shared" si="31"/>
        <v>全身鎧_(無効)</v>
      </c>
      <c r="AK135" s="2" t="str">
        <f t="shared" si="31"/>
        <v>ローブ_(有効)</v>
      </c>
      <c r="AL135" s="2" t="str">
        <f t="shared" si="31"/>
        <v>小手_(無効)</v>
      </c>
      <c r="AM135" s="2" t="str">
        <f t="shared" si="31"/>
        <v>ブーツ_(無効)</v>
      </c>
      <c r="AN135" s="2" t="str">
        <f t="shared" si="31"/>
        <v>サンダル_(無効)</v>
      </c>
      <c r="AO135" s="2" t="str">
        <f t="shared" si="31"/>
        <v>マント_(有効)</v>
      </c>
      <c r="AP135" s="2" t="str">
        <f t="shared" si="31"/>
        <v>リング_(有効)</v>
      </c>
      <c r="AQ135" s="2" t="str">
        <f t="shared" si="31"/>
        <v>ペンダント_(有効)</v>
      </c>
      <c r="AR135" s="2" t="str">
        <f t="shared" si="31"/>
        <v>ハープ_(無効)</v>
      </c>
      <c r="AS135" s="2" t="str">
        <f t="shared" si="31"/>
        <v>マリンバ_(無効)</v>
      </c>
      <c r="AT135" s="2" t="str">
        <f t="shared" si="31"/>
        <v>フルート_(無効)</v>
      </c>
      <c r="AU135" s="2" t="str">
        <f t="shared" si="31"/>
        <v>ドラム_(無効)</v>
      </c>
    </row>
    <row r="136" spans="2:47" x14ac:dyDescent="0.15">
      <c r="B136" s="37"/>
      <c r="C136" s="40"/>
      <c r="D136" s="130" t="s">
        <v>73</v>
      </c>
      <c r="E136" s="129"/>
      <c r="F136" s="129"/>
      <c r="G136" s="129"/>
      <c r="H136" s="38" t="str">
        <f>IF(ISERROR(MATCH(U137,$AF133:$AQ133,0)),"攻撃力","防御力合計")</f>
        <v>攻撃力</v>
      </c>
      <c r="I136" s="45"/>
      <c r="J136" s="46">
        <v>37</v>
      </c>
      <c r="K136" s="47" t="str">
        <f>IF(H136="防御力合計","叩防","")</f>
        <v/>
      </c>
      <c r="L136" s="48"/>
      <c r="M136" s="47" t="str">
        <f>IF(H136="防御力合計","斬防","")</f>
        <v/>
      </c>
      <c r="N136" s="48"/>
      <c r="O136" s="47" t="str">
        <f>IF(H136="防御力合計","突防","")</f>
        <v/>
      </c>
      <c r="P136" s="48"/>
      <c r="Q136" s="47" t="str">
        <f>IF(H136="防御力合計","魔防","")</f>
        <v/>
      </c>
      <c r="R136" s="46"/>
      <c r="U136" s="2" t="s">
        <v>113</v>
      </c>
      <c r="W136" s="2" t="s">
        <v>115</v>
      </c>
      <c r="Z136" s="2" t="s">
        <v>118</v>
      </c>
      <c r="AA136" s="2" t="s">
        <v>119</v>
      </c>
      <c r="AC136" s="2" t="s">
        <v>120</v>
      </c>
      <c r="AD136" s="2" t="s">
        <v>121</v>
      </c>
    </row>
    <row r="137" spans="2:47" x14ac:dyDescent="0.15">
      <c r="B137" s="37"/>
      <c r="C137" s="35" t="s">
        <v>122</v>
      </c>
      <c r="D137" s="36"/>
      <c r="E137" s="36"/>
      <c r="F137" s="36"/>
      <c r="G137" s="36"/>
      <c r="H137" s="36"/>
      <c r="I137" s="36"/>
      <c r="J137" s="36"/>
      <c r="K137" s="36"/>
      <c r="L137" s="36"/>
      <c r="M137" s="44"/>
      <c r="N137" s="44"/>
      <c r="O137" s="44"/>
      <c r="P137" s="36"/>
      <c r="Q137" s="36"/>
      <c r="R137" s="56"/>
      <c r="T137" s="2" t="s">
        <v>145</v>
      </c>
      <c r="U137" s="2" t="str">
        <f t="shared" ref="U137" si="32">E135</f>
        <v>ハンマー</v>
      </c>
      <c r="W137" s="2" t="str">
        <f t="shared" ref="W137" si="33">J135</f>
        <v>アストリア銀</v>
      </c>
      <c r="Y137" s="2" t="str">
        <f t="shared" ref="Y137" si="34">H136</f>
        <v>攻撃力</v>
      </c>
      <c r="Z137" s="1">
        <f t="shared" ref="Z137" si="35">IF(ISBLANK(J136),"-",J136)</f>
        <v>37</v>
      </c>
      <c r="AA137" s="2" t="str">
        <f t="shared" ref="AA137" si="36">IF(OR(ISBLANK(L136),ISBLANK(N136),ISBLANK(P136),ISBLANK(R136)),"-",SUM(K136:R136))</f>
        <v>-</v>
      </c>
      <c r="AB137" s="2" t="str">
        <f t="shared" ref="AB137" si="37">D136</f>
        <v>防御力個別入力で計算</v>
      </c>
      <c r="AC137" s="1">
        <f>IF(OR(Y137="攻撃力",AB137="防御力合計で計算"),Z137,AA137)</f>
        <v>37</v>
      </c>
      <c r="AD137" s="1">
        <f>INDEX(主原料マスタ!$D$5:$D$59,MATCH(W137,主原料マスタ!$B$5:$B$59,0))</f>
        <v>4</v>
      </c>
    </row>
    <row r="138" spans="2:47" x14ac:dyDescent="0.15">
      <c r="B138" s="37"/>
      <c r="C138" s="37"/>
      <c r="D138" s="41" t="s">
        <v>113</v>
      </c>
      <c r="E138" s="129" t="s">
        <v>134</v>
      </c>
      <c r="F138" s="129"/>
      <c r="G138" s="129"/>
      <c r="H138" s="38" t="s">
        <v>115</v>
      </c>
      <c r="I138" s="45"/>
      <c r="J138" s="129" t="s">
        <v>125</v>
      </c>
      <c r="K138" s="129"/>
      <c r="L138" s="129"/>
      <c r="M138" s="42"/>
      <c r="N138" s="42"/>
      <c r="O138" s="42"/>
      <c r="P138" s="42"/>
      <c r="Q138" s="42"/>
      <c r="R138" s="45"/>
      <c r="T138" s="2" t="s">
        <v>146</v>
      </c>
      <c r="U138" s="2" t="str">
        <f t="shared" ref="U138" si="38">E138</f>
        <v>ペンダント_(有効)</v>
      </c>
      <c r="V138" s="2" t="str">
        <f t="shared" ref="V138" si="39">LEFT(U138,FIND("_",U138)-1)</f>
        <v>ペンダント</v>
      </c>
      <c r="W138" s="2" t="str">
        <f t="shared" ref="W138" si="40">J138</f>
        <v>ワニ革</v>
      </c>
      <c r="Y138" s="2" t="str">
        <f t="shared" ref="Y138" si="41">H139</f>
        <v>防御力合計</v>
      </c>
      <c r="Z138" s="1">
        <f t="shared" ref="Z138" si="42">IF(ISBLANK(J139),"-",J139)</f>
        <v>11</v>
      </c>
      <c r="AA138" s="1">
        <f t="shared" ref="AA138" si="43">IF(OR(ISBLANK(L139),ISBLANK(N139),ISBLANK(P139),ISBLANK(R139)),"-",SUM(K139:R139))</f>
        <v>0</v>
      </c>
      <c r="AB138" s="2" t="str">
        <f t="shared" ref="AB138" si="44">D139</f>
        <v>防御力合計で計算</v>
      </c>
      <c r="AC138" s="1">
        <f>IF(OR(Y138="攻撃力",AB138="防御力合計で計算"),Z138,AA138)</f>
        <v>11</v>
      </c>
      <c r="AD138" s="1">
        <f>INDEX(主原料マスタ!$D$5:$D$59,MATCH(W138,主原料マスタ!$B$5:$B$59,0))</f>
        <v>7</v>
      </c>
    </row>
    <row r="139" spans="2:47" x14ac:dyDescent="0.15">
      <c r="B139" s="37"/>
      <c r="C139" s="40"/>
      <c r="D139" s="130" t="s">
        <v>72</v>
      </c>
      <c r="E139" s="129"/>
      <c r="F139" s="129"/>
      <c r="G139" s="129"/>
      <c r="H139" s="38" t="str">
        <f>IF(ISERROR(MATCH(V138,$AF133:$AQ133,0)),"攻撃力","防御力合計")</f>
        <v>防御力合計</v>
      </c>
      <c r="I139" s="45"/>
      <c r="J139" s="46">
        <v>11</v>
      </c>
      <c r="K139" s="47" t="str">
        <f>IF(H139="防御力合計","叩防","")</f>
        <v>叩防</v>
      </c>
      <c r="L139" s="48">
        <v>0</v>
      </c>
      <c r="M139" s="47" t="str">
        <f>IF(H139="防御力合計","斬防","")</f>
        <v>斬防</v>
      </c>
      <c r="N139" s="48">
        <v>0</v>
      </c>
      <c r="O139" s="47" t="str">
        <f>IF(H139="防御力合計","突防","")</f>
        <v>突防</v>
      </c>
      <c r="P139" s="48">
        <v>0</v>
      </c>
      <c r="Q139" s="47" t="str">
        <f>IF(H139="防御力合計","魔防","")</f>
        <v>魔防</v>
      </c>
      <c r="R139" s="46">
        <v>0</v>
      </c>
      <c r="W139" s="2" t="s">
        <v>127</v>
      </c>
      <c r="Z139" s="2" t="s">
        <v>128</v>
      </c>
      <c r="AA139" s="2" t="s">
        <v>102</v>
      </c>
      <c r="AB139" s="2" t="s">
        <v>129</v>
      </c>
      <c r="AD139" s="1">
        <f>MOD(AD137+AD138,11)</f>
        <v>0</v>
      </c>
      <c r="AE139" s="61" t="str">
        <f>IF(U140="-","",INDEX(ロジック形状!$C$5:$C$26,MATCH(AD139,ロジック形状!$B$5:$B$26,0),))</f>
        <v>□□□□</v>
      </c>
    </row>
    <row r="140" spans="2:47" x14ac:dyDescent="0.15">
      <c r="B140" s="37"/>
      <c r="C140" s="35" t="s">
        <v>130</v>
      </c>
      <c r="D140" s="36"/>
      <c r="E140" s="36"/>
      <c r="F140" s="36"/>
      <c r="G140" s="36"/>
      <c r="H140" s="36"/>
      <c r="I140" s="36"/>
      <c r="J140" s="36"/>
      <c r="K140" s="36"/>
      <c r="L140" s="36"/>
      <c r="M140" s="36"/>
      <c r="N140" s="49" t="s">
        <v>131</v>
      </c>
      <c r="O140" s="50"/>
      <c r="P140" s="51"/>
      <c r="Q140" s="57" t="str">
        <f>AE139</f>
        <v>□□□□</v>
      </c>
      <c r="R140" s="58"/>
      <c r="T140" s="2" t="s">
        <v>110</v>
      </c>
      <c r="U140" s="2" t="str">
        <f t="shared" ref="U140" si="45">INDEX(U134:AU134,,MATCH(V138,U133:AU133,0))</f>
        <v>まんまるドロップ</v>
      </c>
      <c r="W140" s="2" t="str">
        <f>IF(U140="-","-",INDEX(ロジックマスタ!$D$5:$D$56,MATCH(U140,ロジックマスタ!$B$5:$B$56,0),))</f>
        <v>-</v>
      </c>
      <c r="Y140" s="2" t="s">
        <v>132</v>
      </c>
      <c r="Z140" s="1">
        <f t="shared" ref="Z140" si="46">IF(OR(AC137="-",AC138="-"),0,(AC137+AC138)/17)</f>
        <v>2.8235294117647061</v>
      </c>
      <c r="AA140" s="1">
        <f t="shared" ref="AA140" si="47">ROUNDDOWN(MIN(MAX(Z140,0),9),0)</f>
        <v>2</v>
      </c>
      <c r="AB140" s="2" t="str">
        <f t="shared" ref="AB140" si="48">IF(OR(AA140=0,W140="-"),"","＋"&amp;AA140)</f>
        <v/>
      </c>
      <c r="AE140" s="61" t="str">
        <f>IF(U140="-","",INDEX(ロジック形状!$C$5:$C$26,MATCH(AD139,ロジック形状!$B$5:$B$26,0)+1,))</f>
        <v>■□□□</v>
      </c>
    </row>
    <row r="141" spans="2:47" x14ac:dyDescent="0.15">
      <c r="B141" s="40"/>
      <c r="C141" s="40"/>
      <c r="D141" s="38" t="s">
        <v>133</v>
      </c>
      <c r="E141" s="42"/>
      <c r="F141" s="42"/>
      <c r="G141" s="131" t="str">
        <f>U140&amp;AB140</f>
        <v>まんまるドロップ</v>
      </c>
      <c r="H141" s="131"/>
      <c r="I141" s="131"/>
      <c r="J141" s="38" t="s">
        <v>127</v>
      </c>
      <c r="K141" s="42"/>
      <c r="L141" s="43" t="str">
        <f>W140</f>
        <v>-</v>
      </c>
      <c r="M141" s="52"/>
      <c r="N141" s="53"/>
      <c r="O141" s="54"/>
      <c r="P141" s="55"/>
      <c r="Q141" s="59" t="str">
        <f>AE140</f>
        <v>■□□□</v>
      </c>
      <c r="R141" s="60"/>
    </row>
    <row r="143" spans="2:47" x14ac:dyDescent="0.15">
      <c r="B143" s="35" t="s">
        <v>110</v>
      </c>
      <c r="C143" s="36"/>
      <c r="D143" s="36"/>
      <c r="E143" s="36"/>
      <c r="F143" s="36"/>
      <c r="G143" s="36"/>
      <c r="H143" s="36"/>
      <c r="I143" s="36"/>
      <c r="J143" s="36"/>
      <c r="K143" s="36"/>
      <c r="L143" s="36"/>
      <c r="M143" s="36"/>
      <c r="N143" s="36"/>
      <c r="O143" s="36"/>
      <c r="P143" s="36"/>
      <c r="Q143" s="36"/>
      <c r="R143" s="56"/>
      <c r="T143" s="2" t="s">
        <v>144</v>
      </c>
      <c r="U143" s="2" t="str">
        <f t="shared" si="8"/>
        <v>短剣</v>
      </c>
      <c r="V143" s="2" t="str">
        <f t="shared" si="8"/>
        <v>片手剣</v>
      </c>
      <c r="W143" s="2" t="str">
        <f t="shared" si="8"/>
        <v>片手斧</v>
      </c>
      <c r="X143" s="2" t="str">
        <f t="shared" si="8"/>
        <v>両手剣</v>
      </c>
      <c r="Y143" s="2" t="str">
        <f t="shared" si="8"/>
        <v>両手斧</v>
      </c>
      <c r="Z143" s="2" t="str">
        <f t="shared" si="8"/>
        <v>ハンマー</v>
      </c>
      <c r="AA143" s="2" t="str">
        <f t="shared" si="8"/>
        <v>槍</v>
      </c>
      <c r="AB143" s="2" t="str">
        <f t="shared" si="8"/>
        <v>杖</v>
      </c>
      <c r="AC143" s="2" t="str">
        <f t="shared" ref="AC143:AU143" si="49">INDEX($A$2:$A$28,COLUMN()-COLUMN($U143)+1,)</f>
        <v>ナックル</v>
      </c>
      <c r="AD143" s="2" t="str">
        <f t="shared" si="49"/>
        <v>ヌンチャク</v>
      </c>
      <c r="AE143" s="2" t="str">
        <f t="shared" si="49"/>
        <v>弓矢</v>
      </c>
      <c r="AF143" s="2" t="str">
        <f t="shared" si="49"/>
        <v>盾</v>
      </c>
      <c r="AG143" s="2" t="str">
        <f t="shared" si="49"/>
        <v>兜</v>
      </c>
      <c r="AH143" s="2" t="str">
        <f t="shared" si="49"/>
        <v>帽子</v>
      </c>
      <c r="AI143" s="2" t="str">
        <f t="shared" si="49"/>
        <v>鎧</v>
      </c>
      <c r="AJ143" s="2" t="str">
        <f t="shared" si="49"/>
        <v>全身鎧</v>
      </c>
      <c r="AK143" s="2" t="str">
        <f t="shared" si="49"/>
        <v>ローブ</v>
      </c>
      <c r="AL143" s="2" t="str">
        <f t="shared" si="49"/>
        <v>小手</v>
      </c>
      <c r="AM143" s="2" t="str">
        <f t="shared" si="49"/>
        <v>ブーツ</v>
      </c>
      <c r="AN143" s="2" t="str">
        <f t="shared" si="49"/>
        <v>サンダル</v>
      </c>
      <c r="AO143" s="2" t="str">
        <f t="shared" si="49"/>
        <v>マント</v>
      </c>
      <c r="AP143" s="2" t="str">
        <f t="shared" si="49"/>
        <v>リング</v>
      </c>
      <c r="AQ143" s="2" t="str">
        <f t="shared" si="49"/>
        <v>ペンダント</v>
      </c>
      <c r="AR143" s="2" t="str">
        <f t="shared" si="49"/>
        <v>ハープ</v>
      </c>
      <c r="AS143" s="2" t="str">
        <f t="shared" si="49"/>
        <v>マリンバ</v>
      </c>
      <c r="AT143" s="2" t="str">
        <f t="shared" si="49"/>
        <v>フルート</v>
      </c>
      <c r="AU143" s="2" t="str">
        <f t="shared" si="49"/>
        <v>ドラム</v>
      </c>
    </row>
    <row r="144" spans="2:47" x14ac:dyDescent="0.15">
      <c r="B144" s="37"/>
      <c r="C144" s="35" t="s">
        <v>112</v>
      </c>
      <c r="D144" s="36"/>
      <c r="E144" s="36"/>
      <c r="F144" s="36"/>
      <c r="G144" s="36"/>
      <c r="H144" s="36"/>
      <c r="I144" s="36"/>
      <c r="J144" s="36"/>
      <c r="K144" s="44"/>
      <c r="L144" s="44"/>
      <c r="M144" s="44"/>
      <c r="N144" s="44"/>
      <c r="O144" s="44"/>
      <c r="P144" s="36"/>
      <c r="Q144" s="36"/>
      <c r="R144" s="56"/>
      <c r="T144" s="2" t="s">
        <v>110</v>
      </c>
      <c r="U144" s="2" t="str">
        <f>INDEX(ロジックテーブル!$D$6:$AD$32,MATCH($U147,ロジックテーブル!$C$6:$C$32,0),MATCH(U143,ロジックテーブル!$D$5:$AD$5,0))</f>
        <v>-</v>
      </c>
      <c r="V144" s="2" t="str">
        <f>INDEX(ロジックテーブル!$D$6:$AD$32,MATCH($U147,ロジックテーブル!$C$6:$C$32,0),MATCH(V143,ロジックテーブル!$D$5:$AD$5,0))</f>
        <v>-</v>
      </c>
      <c r="W144" s="2" t="str">
        <f>INDEX(ロジックテーブル!$D$6:$AD$32,MATCH($U147,ロジックテーブル!$C$6:$C$32,0),MATCH(W143,ロジックテーブル!$D$5:$AD$5,0))</f>
        <v>-</v>
      </c>
      <c r="X144" s="2" t="str">
        <f>INDEX(ロジックテーブル!$D$6:$AD$32,MATCH($U147,ロジックテーブル!$C$6:$C$32,0),MATCH(X143,ロジックテーブル!$D$5:$AD$5,0))</f>
        <v>-</v>
      </c>
      <c r="Y144" s="2" t="str">
        <f>INDEX(ロジックテーブル!$D$6:$AD$32,MATCH($U147,ロジックテーブル!$C$6:$C$32,0),MATCH(Y143,ロジックテーブル!$D$5:$AD$5,0))</f>
        <v>-</v>
      </c>
      <c r="Z144" s="2" t="str">
        <f>INDEX(ロジックテーブル!$D$6:$AD$32,MATCH($U147,ロジックテーブル!$C$6:$C$32,0),MATCH(Z143,ロジックテーブル!$D$5:$AD$5,0))</f>
        <v>-</v>
      </c>
      <c r="AA144" s="2" t="str">
        <f>INDEX(ロジックテーブル!$D$6:$AD$32,MATCH($U147,ロジックテーブル!$C$6:$C$32,0),MATCH(AA143,ロジックテーブル!$D$5:$AD$5,0))</f>
        <v>-</v>
      </c>
      <c r="AB144" s="2" t="str">
        <f>INDEX(ロジックテーブル!$D$6:$AD$32,MATCH($U147,ロジックテーブル!$C$6:$C$32,0),MATCH(AB143,ロジックテーブル!$D$5:$AD$5,0))</f>
        <v>-</v>
      </c>
      <c r="AC144" s="2" t="str">
        <f>INDEX(ロジックテーブル!$D$6:$AD$32,MATCH($U147,ロジックテーブル!$C$6:$C$32,0),MATCH(AC143,ロジックテーブル!$D$5:$AD$5,0))</f>
        <v>-</v>
      </c>
      <c r="AD144" s="2" t="str">
        <f>INDEX(ロジックテーブル!$D$6:$AD$32,MATCH($U147,ロジックテーブル!$C$6:$C$32,0),MATCH(AD143,ロジックテーブル!$D$5:$AD$5,0))</f>
        <v>-</v>
      </c>
      <c r="AE144" s="2" t="str">
        <f>INDEX(ロジックテーブル!$D$6:$AD$32,MATCH($U147,ロジックテーブル!$C$6:$C$32,0),MATCH(AE143,ロジックテーブル!$D$5:$AD$5,0))</f>
        <v>ネットショット</v>
      </c>
      <c r="AF144" s="2" t="str">
        <f>INDEX(ロジックテーブル!$D$6:$AD$32,MATCH($U147,ロジックテーブル!$C$6:$C$32,0),MATCH(AF143,ロジックテーブル!$D$5:$AD$5,0))</f>
        <v>-</v>
      </c>
      <c r="AG144" s="2" t="str">
        <f>INDEX(ロジックテーブル!$D$6:$AD$32,MATCH($U147,ロジックテーブル!$C$6:$C$32,0),MATCH(AG143,ロジックテーブル!$D$5:$AD$5,0))</f>
        <v>バリア</v>
      </c>
      <c r="AH144" s="2" t="str">
        <f>INDEX(ロジックテーブル!$D$6:$AD$32,MATCH($U147,ロジックテーブル!$C$6:$C$32,0),MATCH(AH143,ロジックテーブル!$D$5:$AD$5,0))</f>
        <v>バリア</v>
      </c>
      <c r="AI144" s="2" t="str">
        <f>INDEX(ロジックテーブル!$D$6:$AD$32,MATCH($U147,ロジックテーブル!$C$6:$C$32,0),MATCH(AI143,ロジックテーブル!$D$5:$AD$5,0))</f>
        <v>核自爆</v>
      </c>
      <c r="AJ144" s="2" t="str">
        <f>INDEX(ロジックテーブル!$D$6:$AD$32,MATCH($U147,ロジックテーブル!$C$6:$C$32,0),MATCH(AJ143,ロジックテーブル!$D$5:$AD$5,0))</f>
        <v>核自爆</v>
      </c>
      <c r="AK144" s="2" t="str">
        <f>INDEX(ロジックテーブル!$D$6:$AD$32,MATCH($U147,ロジックテーブル!$C$6:$C$32,0),MATCH(AK143,ロジックテーブル!$D$5:$AD$5,0))</f>
        <v>-</v>
      </c>
      <c r="AL144" s="2" t="str">
        <f>INDEX(ロジックテーブル!$D$6:$AD$32,MATCH($U147,ロジックテーブル!$C$6:$C$32,0),MATCH(AL143,ロジックテーブル!$D$5:$AD$5,0))</f>
        <v>バリア</v>
      </c>
      <c r="AM144" s="2" t="str">
        <f>INDEX(ロジックテーブル!$D$6:$AD$32,MATCH($U147,ロジックテーブル!$C$6:$C$32,0),MATCH(AM143,ロジックテーブル!$D$5:$AD$5,0))</f>
        <v>-</v>
      </c>
      <c r="AN144" s="2" t="str">
        <f>INDEX(ロジックテーブル!$D$6:$AD$32,MATCH($U147,ロジックテーブル!$C$6:$C$32,0),MATCH(AN143,ロジックテーブル!$D$5:$AD$5,0))</f>
        <v>-</v>
      </c>
      <c r="AO144" s="2" t="str">
        <f>INDEX(ロジックテーブル!$D$6:$AD$32,MATCH($U147,ロジックテーブル!$C$6:$C$32,0),MATCH(AO143,ロジックテーブル!$D$5:$AD$5,0))</f>
        <v>-</v>
      </c>
      <c r="AP144" s="2" t="str">
        <f>INDEX(ロジックテーブル!$D$6:$AD$32,MATCH($U147,ロジックテーブル!$C$6:$C$32,0),MATCH(AP143,ロジックテーブル!$D$5:$AD$5,0))</f>
        <v>-</v>
      </c>
      <c r="AQ144" s="2" t="str">
        <f>INDEX(ロジックテーブル!$D$6:$AD$32,MATCH($U147,ロジックテーブル!$C$6:$C$32,0),MATCH(AQ143,ロジックテーブル!$D$5:$AD$5,0))</f>
        <v>-</v>
      </c>
      <c r="AR144" s="2" t="str">
        <f>INDEX(ロジックテーブル!$D$6:$AD$32,MATCH($U147,ロジックテーブル!$C$6:$C$32,0),MATCH(AR143,ロジックテーブル!$D$5:$AD$5,0))</f>
        <v>-</v>
      </c>
      <c r="AS144" s="2" t="str">
        <f>INDEX(ロジックテーブル!$D$6:$AD$32,MATCH($U147,ロジックテーブル!$C$6:$C$32,0),MATCH(AS143,ロジックテーブル!$D$5:$AD$5,0))</f>
        <v>セルフバーニング</v>
      </c>
      <c r="AT144" s="2" t="str">
        <f>INDEX(ロジックテーブル!$D$6:$AD$32,MATCH($U147,ロジックテーブル!$C$6:$C$32,0),MATCH(AT143,ロジックテーブル!$D$5:$AD$5,0))</f>
        <v>-</v>
      </c>
      <c r="AU144" s="2" t="str">
        <f>INDEX(ロジックテーブル!$D$6:$AD$32,MATCH($U147,ロジックテーブル!$C$6:$C$32,0),MATCH(AU143,ロジックテーブル!$D$5:$AD$5,0))</f>
        <v>-</v>
      </c>
    </row>
    <row r="145" spans="2:47" x14ac:dyDescent="0.15">
      <c r="B145" s="37"/>
      <c r="C145" s="37"/>
      <c r="D145" s="38" t="s">
        <v>113</v>
      </c>
      <c r="E145" s="129" t="s">
        <v>147</v>
      </c>
      <c r="F145" s="129"/>
      <c r="G145" s="129"/>
      <c r="H145" s="38" t="s">
        <v>115</v>
      </c>
      <c r="I145" s="45"/>
      <c r="J145" s="129" t="s">
        <v>148</v>
      </c>
      <c r="K145" s="129"/>
      <c r="L145" s="129"/>
      <c r="M145" s="42"/>
      <c r="N145" s="42"/>
      <c r="O145" s="42"/>
      <c r="P145" s="42"/>
      <c r="Q145" s="42"/>
      <c r="R145" s="45"/>
      <c r="T145" s="2" t="s">
        <v>149</v>
      </c>
      <c r="U145" s="2" t="str">
        <f t="shared" ref="U145:AB145" si="50">U143&amp;"_"&amp;IF(U144="-","(無効)","(有効)")</f>
        <v>短剣_(無効)</v>
      </c>
      <c r="V145" s="2" t="str">
        <f t="shared" si="50"/>
        <v>片手剣_(無効)</v>
      </c>
      <c r="W145" s="2" t="str">
        <f t="shared" si="50"/>
        <v>片手斧_(無効)</v>
      </c>
      <c r="X145" s="2" t="str">
        <f t="shared" si="50"/>
        <v>両手剣_(無効)</v>
      </c>
      <c r="Y145" s="2" t="str">
        <f t="shared" si="50"/>
        <v>両手斧_(無効)</v>
      </c>
      <c r="Z145" s="2" t="str">
        <f t="shared" si="50"/>
        <v>ハンマー_(無効)</v>
      </c>
      <c r="AA145" s="2" t="str">
        <f t="shared" si="50"/>
        <v>槍_(無効)</v>
      </c>
      <c r="AB145" s="2" t="str">
        <f t="shared" si="50"/>
        <v>杖_(無効)</v>
      </c>
      <c r="AC145" s="2" t="str">
        <f t="shared" ref="AC145:AU145" si="51">AC143&amp;"_"&amp;IF(AC144="-","(無効)","(有効)")</f>
        <v>ナックル_(無効)</v>
      </c>
      <c r="AD145" s="2" t="str">
        <f t="shared" si="51"/>
        <v>ヌンチャク_(無効)</v>
      </c>
      <c r="AE145" s="2" t="str">
        <f t="shared" si="51"/>
        <v>弓矢_(有効)</v>
      </c>
      <c r="AF145" s="2" t="str">
        <f t="shared" si="51"/>
        <v>盾_(無効)</v>
      </c>
      <c r="AG145" s="2" t="str">
        <f t="shared" si="51"/>
        <v>兜_(有効)</v>
      </c>
      <c r="AH145" s="2" t="str">
        <f t="shared" si="51"/>
        <v>帽子_(有効)</v>
      </c>
      <c r="AI145" s="2" t="str">
        <f t="shared" si="51"/>
        <v>鎧_(有効)</v>
      </c>
      <c r="AJ145" s="2" t="str">
        <f t="shared" si="51"/>
        <v>全身鎧_(有効)</v>
      </c>
      <c r="AK145" s="2" t="str">
        <f t="shared" si="51"/>
        <v>ローブ_(無効)</v>
      </c>
      <c r="AL145" s="2" t="str">
        <f t="shared" si="51"/>
        <v>小手_(有効)</v>
      </c>
      <c r="AM145" s="2" t="str">
        <f t="shared" si="51"/>
        <v>ブーツ_(無効)</v>
      </c>
      <c r="AN145" s="2" t="str">
        <f t="shared" si="51"/>
        <v>サンダル_(無効)</v>
      </c>
      <c r="AO145" s="2" t="str">
        <f t="shared" si="51"/>
        <v>マント_(無効)</v>
      </c>
      <c r="AP145" s="2" t="str">
        <f t="shared" si="51"/>
        <v>リング_(無効)</v>
      </c>
      <c r="AQ145" s="2" t="str">
        <f t="shared" si="51"/>
        <v>ペンダント_(無効)</v>
      </c>
      <c r="AR145" s="2" t="str">
        <f t="shared" si="51"/>
        <v>ハープ_(無効)</v>
      </c>
      <c r="AS145" s="2" t="str">
        <f t="shared" si="51"/>
        <v>マリンバ_(有効)</v>
      </c>
      <c r="AT145" s="2" t="str">
        <f t="shared" si="51"/>
        <v>フルート_(無効)</v>
      </c>
      <c r="AU145" s="2" t="str">
        <f t="shared" si="51"/>
        <v>ドラム_(無効)</v>
      </c>
    </row>
    <row r="146" spans="2:47" x14ac:dyDescent="0.15">
      <c r="B146" s="37"/>
      <c r="C146" s="40"/>
      <c r="D146" s="130" t="s">
        <v>72</v>
      </c>
      <c r="E146" s="129"/>
      <c r="F146" s="129"/>
      <c r="G146" s="129"/>
      <c r="H146" s="38" t="str">
        <f>IF(ISERROR(MATCH(U147,$AF143:$AQ143,0)),"攻撃力","防御力合計")</f>
        <v>防御力合計</v>
      </c>
      <c r="I146" s="45"/>
      <c r="J146" s="46"/>
      <c r="K146" s="47" t="str">
        <f>IF(H146="防御力合計","叩防","")</f>
        <v>叩防</v>
      </c>
      <c r="L146" s="48"/>
      <c r="M146" s="47" t="str">
        <f>IF(H146="防御力合計","斬防","")</f>
        <v>斬防</v>
      </c>
      <c r="N146" s="48"/>
      <c r="O146" s="47" t="str">
        <f>IF(H146="防御力合計","突防","")</f>
        <v>突防</v>
      </c>
      <c r="P146" s="48"/>
      <c r="Q146" s="47" t="str">
        <f>IF(H146="防御力合計","魔防","")</f>
        <v>魔防</v>
      </c>
      <c r="R146" s="46"/>
      <c r="U146" s="2" t="s">
        <v>113</v>
      </c>
      <c r="W146" s="2" t="s">
        <v>115</v>
      </c>
      <c r="Z146" s="2" t="s">
        <v>118</v>
      </c>
      <c r="AA146" s="2" t="s">
        <v>119</v>
      </c>
      <c r="AC146" s="2" t="s">
        <v>120</v>
      </c>
      <c r="AD146" s="2" t="s">
        <v>121</v>
      </c>
    </row>
    <row r="147" spans="2:47" x14ac:dyDescent="0.15">
      <c r="B147" s="37"/>
      <c r="C147" s="35" t="s">
        <v>122</v>
      </c>
      <c r="D147" s="36"/>
      <c r="E147" s="36"/>
      <c r="F147" s="36"/>
      <c r="G147" s="36"/>
      <c r="H147" s="36"/>
      <c r="I147" s="36"/>
      <c r="J147" s="36"/>
      <c r="K147" s="36"/>
      <c r="L147" s="36"/>
      <c r="M147" s="44"/>
      <c r="N147" s="44"/>
      <c r="O147" s="44"/>
      <c r="P147" s="36"/>
      <c r="Q147" s="36"/>
      <c r="R147" s="56"/>
      <c r="T147" s="2" t="s">
        <v>150</v>
      </c>
      <c r="U147" s="2" t="str">
        <f t="shared" ref="U147" si="52">E145</f>
        <v>盾</v>
      </c>
      <c r="W147" s="2" t="str">
        <f t="shared" ref="W147" si="53">J145</f>
        <v>メノス銅</v>
      </c>
      <c r="Y147" s="2" t="str">
        <f t="shared" ref="Y147" si="54">H146</f>
        <v>防御力合計</v>
      </c>
      <c r="Z147" s="2" t="str">
        <f t="shared" ref="Z147" si="55">IF(ISBLANK(J146),"-",J146)</f>
        <v>-</v>
      </c>
      <c r="AA147" s="2" t="str">
        <f t="shared" ref="AA147" si="56">IF(OR(ISBLANK(L146),ISBLANK(N146),ISBLANK(P146),ISBLANK(R146)),"-",SUM(K146:R146))</f>
        <v>-</v>
      </c>
      <c r="AB147" s="2" t="str">
        <f t="shared" ref="AB147" si="57">D146</f>
        <v>防御力合計で計算</v>
      </c>
      <c r="AC147" s="2" t="str">
        <f>IF(OR(Y147="攻撃力",AB147="防御力合計で計算"),Z147,AA147)</f>
        <v>-</v>
      </c>
      <c r="AD147" s="1">
        <f>INDEX(主原料マスタ!$D$5:$D$59,MATCH(W147,主原料マスタ!$B$5:$B$59,0))</f>
        <v>0</v>
      </c>
    </row>
    <row r="148" spans="2:47" x14ac:dyDescent="0.15">
      <c r="B148" s="37"/>
      <c r="C148" s="37"/>
      <c r="D148" s="41" t="s">
        <v>113</v>
      </c>
      <c r="E148" s="129" t="s">
        <v>151</v>
      </c>
      <c r="F148" s="129"/>
      <c r="G148" s="129"/>
      <c r="H148" s="38" t="s">
        <v>115</v>
      </c>
      <c r="I148" s="45"/>
      <c r="J148" s="129" t="s">
        <v>148</v>
      </c>
      <c r="K148" s="129"/>
      <c r="L148" s="129"/>
      <c r="M148" s="42"/>
      <c r="N148" s="42"/>
      <c r="O148" s="42"/>
      <c r="P148" s="42"/>
      <c r="Q148" s="42"/>
      <c r="R148" s="45"/>
      <c r="T148" s="2" t="s">
        <v>152</v>
      </c>
      <c r="U148" s="2" t="str">
        <f t="shared" ref="U148" si="58">E148</f>
        <v>短剣_(無効)</v>
      </c>
      <c r="V148" s="2" t="str">
        <f t="shared" ref="V148" si="59">LEFT(U148,FIND("_",U148)-1)</f>
        <v>短剣</v>
      </c>
      <c r="W148" s="2" t="str">
        <f t="shared" ref="W148" si="60">J148</f>
        <v>メノス銅</v>
      </c>
      <c r="Y148" s="2" t="str">
        <f t="shared" ref="Y148" si="61">H149</f>
        <v>攻撃力</v>
      </c>
      <c r="Z148" s="2" t="str">
        <f t="shared" ref="Z148" si="62">IF(ISBLANK(J149),"-",J149)</f>
        <v>-</v>
      </c>
      <c r="AA148" s="2" t="str">
        <f t="shared" ref="AA148" si="63">IF(OR(ISBLANK(L149),ISBLANK(N149),ISBLANK(P149),ISBLANK(R149)),"-",SUM(K149:R149))</f>
        <v>-</v>
      </c>
      <c r="AB148" s="2" t="str">
        <f t="shared" ref="AB148" si="64">D149</f>
        <v>防御力合計で計算</v>
      </c>
      <c r="AC148" s="2" t="str">
        <f>IF(OR(Y148="攻撃力",AB148="防御力合計で計算"),Z148,AA148)</f>
        <v>-</v>
      </c>
      <c r="AD148" s="1">
        <f>INDEX(主原料マスタ!$D$5:$D$59,MATCH(W148,主原料マスタ!$B$5:$B$59,0))</f>
        <v>0</v>
      </c>
    </row>
    <row r="149" spans="2:47" x14ac:dyDescent="0.15">
      <c r="B149" s="37"/>
      <c r="C149" s="40"/>
      <c r="D149" s="130" t="s">
        <v>72</v>
      </c>
      <c r="E149" s="129"/>
      <c r="F149" s="129"/>
      <c r="G149" s="129"/>
      <c r="H149" s="38" t="str">
        <f>IF(ISERROR(MATCH(V148,$AF143:$AQ143,0)),"攻撃力","防御力合計")</f>
        <v>攻撃力</v>
      </c>
      <c r="I149" s="45"/>
      <c r="J149" s="46"/>
      <c r="K149" s="47" t="str">
        <f>IF(H149="防御力合計","叩防","")</f>
        <v/>
      </c>
      <c r="L149" s="48"/>
      <c r="M149" s="47" t="str">
        <f>IF(H149="防御力合計","斬防","")</f>
        <v/>
      </c>
      <c r="N149" s="48"/>
      <c r="O149" s="47" t="str">
        <f>IF(H149="防御力合計","突防","")</f>
        <v/>
      </c>
      <c r="P149" s="48"/>
      <c r="Q149" s="47" t="str">
        <f>IF(H149="防御力合計","魔防","")</f>
        <v/>
      </c>
      <c r="R149" s="46"/>
      <c r="W149" s="2" t="s">
        <v>127</v>
      </c>
      <c r="Z149" s="2" t="s">
        <v>128</v>
      </c>
      <c r="AA149" s="2" t="s">
        <v>102</v>
      </c>
      <c r="AB149" s="2" t="s">
        <v>129</v>
      </c>
      <c r="AD149" s="1">
        <f>MOD(AD147+AD148,11)</f>
        <v>0</v>
      </c>
      <c r="AE149" s="61" t="str">
        <f>IF(U150="-","",INDEX(ロジック形状!$C$5:$C$26,MATCH(AD149,ロジック形状!$B$5:$B$26,0),))</f>
        <v/>
      </c>
    </row>
    <row r="150" spans="2:47" x14ac:dyDescent="0.15">
      <c r="B150" s="37"/>
      <c r="C150" s="35" t="s">
        <v>130</v>
      </c>
      <c r="D150" s="36"/>
      <c r="E150" s="36"/>
      <c r="F150" s="36"/>
      <c r="G150" s="36"/>
      <c r="H150" s="36"/>
      <c r="I150" s="36"/>
      <c r="J150" s="36"/>
      <c r="K150" s="36"/>
      <c r="L150" s="36"/>
      <c r="M150" s="36"/>
      <c r="N150" s="49" t="s">
        <v>131</v>
      </c>
      <c r="O150" s="50"/>
      <c r="P150" s="51"/>
      <c r="Q150" s="57" t="str">
        <f>AE149</f>
        <v/>
      </c>
      <c r="R150" s="58"/>
      <c r="T150" s="2" t="s">
        <v>110</v>
      </c>
      <c r="U150" s="2" t="str">
        <f t="shared" ref="U150" si="65">INDEX(U144:AU144,,MATCH(V148,U143:AU143,0))</f>
        <v>-</v>
      </c>
      <c r="W150" s="2" t="str">
        <f>IF(U150="-","-",INDEX(ロジックマスタ!$D$5:$D$56,MATCH(U150,ロジックマスタ!$B$5:$B$56,0),))</f>
        <v>-</v>
      </c>
      <c r="Y150" s="2" t="s">
        <v>132</v>
      </c>
      <c r="Z150" s="1">
        <f t="shared" ref="Z150" si="66">IF(OR(AC147="-",AC148="-"),0,(AC147+AC148)/17)</f>
        <v>0</v>
      </c>
      <c r="AA150" s="1">
        <f t="shared" ref="AA150" si="67">ROUNDDOWN(MIN(MAX(Z150,0),9),0)</f>
        <v>0</v>
      </c>
      <c r="AB150" s="2" t="str">
        <f t="shared" ref="AB150" si="68">IF(OR(AA150=0,W150="-"),"","＋"&amp;AA150)</f>
        <v/>
      </c>
      <c r="AE150" s="61" t="str">
        <f>IF(U150="-","",INDEX(ロジック形状!$C$5:$C$26,MATCH(AD149,ロジック形状!$B$5:$B$26,0)+1,))</f>
        <v/>
      </c>
    </row>
    <row r="151" spans="2:47" x14ac:dyDescent="0.15">
      <c r="B151" s="40"/>
      <c r="C151" s="40"/>
      <c r="D151" s="38" t="s">
        <v>133</v>
      </c>
      <c r="E151" s="42"/>
      <c r="F151" s="42"/>
      <c r="G151" s="131" t="str">
        <f>U150&amp;AB150</f>
        <v>-</v>
      </c>
      <c r="H151" s="131"/>
      <c r="I151" s="131"/>
      <c r="J151" s="38" t="s">
        <v>127</v>
      </c>
      <c r="K151" s="42"/>
      <c r="L151" s="43" t="str">
        <f>W150</f>
        <v>-</v>
      </c>
      <c r="M151" s="52"/>
      <c r="N151" s="53"/>
      <c r="O151" s="54"/>
      <c r="P151" s="55"/>
      <c r="Q151" s="59" t="str">
        <f>AE150</f>
        <v/>
      </c>
      <c r="R151" s="60"/>
    </row>
    <row r="153" spans="2:47" x14ac:dyDescent="0.15">
      <c r="B153" s="35" t="s">
        <v>110</v>
      </c>
      <c r="C153" s="36"/>
      <c r="D153" s="36"/>
      <c r="E153" s="36"/>
      <c r="F153" s="36"/>
      <c r="G153" s="36"/>
      <c r="H153" s="36"/>
      <c r="I153" s="36"/>
      <c r="J153" s="36"/>
      <c r="K153" s="36"/>
      <c r="L153" s="36"/>
      <c r="M153" s="36"/>
      <c r="N153" s="36"/>
      <c r="O153" s="36"/>
      <c r="P153" s="36"/>
      <c r="Q153" s="36"/>
      <c r="R153" s="56"/>
      <c r="T153" s="2" t="s">
        <v>149</v>
      </c>
      <c r="U153" s="2" t="str">
        <f t="shared" si="8"/>
        <v>短剣</v>
      </c>
      <c r="V153" s="2" t="str">
        <f t="shared" si="8"/>
        <v>片手剣</v>
      </c>
      <c r="W153" s="2" t="str">
        <f t="shared" si="8"/>
        <v>片手斧</v>
      </c>
      <c r="X153" s="2" t="str">
        <f t="shared" si="8"/>
        <v>両手剣</v>
      </c>
      <c r="Y153" s="2" t="str">
        <f t="shared" si="8"/>
        <v>両手斧</v>
      </c>
      <c r="Z153" s="2" t="str">
        <f t="shared" si="8"/>
        <v>ハンマー</v>
      </c>
      <c r="AA153" s="2" t="str">
        <f t="shared" si="8"/>
        <v>槍</v>
      </c>
      <c r="AB153" s="2" t="str">
        <f t="shared" si="8"/>
        <v>杖</v>
      </c>
      <c r="AC153" s="2" t="str">
        <f t="shared" ref="AC153:AJ153" si="69">INDEX($A$2:$A$28,COLUMN()-COLUMN($U153)+1,)</f>
        <v>ナックル</v>
      </c>
      <c r="AD153" s="2" t="str">
        <f t="shared" si="69"/>
        <v>ヌンチャク</v>
      </c>
      <c r="AE153" s="2" t="str">
        <f t="shared" si="69"/>
        <v>弓矢</v>
      </c>
      <c r="AF153" s="2" t="str">
        <f t="shared" si="69"/>
        <v>盾</v>
      </c>
      <c r="AG153" s="2" t="str">
        <f t="shared" si="69"/>
        <v>兜</v>
      </c>
      <c r="AH153" s="2" t="str">
        <f t="shared" si="69"/>
        <v>帽子</v>
      </c>
      <c r="AI153" s="2" t="str">
        <f t="shared" si="69"/>
        <v>鎧</v>
      </c>
      <c r="AJ153" s="2" t="str">
        <f t="shared" si="69"/>
        <v>全身鎧</v>
      </c>
      <c r="AK153" s="2" t="str">
        <f t="shared" ref="AK153:AU153" si="70">INDEX($A$2:$A$28,COLUMN()-COLUMN($U153)+1,)</f>
        <v>ローブ</v>
      </c>
      <c r="AL153" s="2" t="str">
        <f t="shared" si="70"/>
        <v>小手</v>
      </c>
      <c r="AM153" s="2" t="str">
        <f t="shared" si="70"/>
        <v>ブーツ</v>
      </c>
      <c r="AN153" s="2" t="str">
        <f t="shared" si="70"/>
        <v>サンダル</v>
      </c>
      <c r="AO153" s="2" t="str">
        <f t="shared" si="70"/>
        <v>マント</v>
      </c>
      <c r="AP153" s="2" t="str">
        <f t="shared" si="70"/>
        <v>リング</v>
      </c>
      <c r="AQ153" s="2" t="str">
        <f t="shared" si="70"/>
        <v>ペンダント</v>
      </c>
      <c r="AR153" s="2" t="str">
        <f t="shared" si="70"/>
        <v>ハープ</v>
      </c>
      <c r="AS153" s="2" t="str">
        <f t="shared" si="70"/>
        <v>マリンバ</v>
      </c>
      <c r="AT153" s="2" t="str">
        <f t="shared" si="70"/>
        <v>フルート</v>
      </c>
      <c r="AU153" s="2" t="str">
        <f t="shared" si="70"/>
        <v>ドラム</v>
      </c>
    </row>
    <row r="154" spans="2:47" x14ac:dyDescent="0.15">
      <c r="B154" s="37"/>
      <c r="C154" s="35" t="s">
        <v>112</v>
      </c>
      <c r="D154" s="36"/>
      <c r="E154" s="36"/>
      <c r="F154" s="36"/>
      <c r="G154" s="36"/>
      <c r="H154" s="36"/>
      <c r="I154" s="36"/>
      <c r="J154" s="36"/>
      <c r="K154" s="44"/>
      <c r="L154" s="44"/>
      <c r="M154" s="44"/>
      <c r="N154" s="44"/>
      <c r="O154" s="44"/>
      <c r="P154" s="36"/>
      <c r="Q154" s="36"/>
      <c r="R154" s="56"/>
      <c r="T154" s="2" t="s">
        <v>110</v>
      </c>
      <c r="U154" s="2" t="str">
        <f>INDEX(ロジックテーブル!$D$6:$AD$32,MATCH($U157,ロジックテーブル!$C$6:$C$32,0),MATCH(U153,ロジックテーブル!$D$5:$AD$5,0))</f>
        <v>-</v>
      </c>
      <c r="V154" s="2" t="str">
        <f>INDEX(ロジックテーブル!$D$6:$AD$32,MATCH($U157,ロジックテーブル!$C$6:$C$32,0),MATCH(V153,ロジックテーブル!$D$5:$AD$5,0))</f>
        <v>-</v>
      </c>
      <c r="W154" s="2" t="str">
        <f>INDEX(ロジックテーブル!$D$6:$AD$32,MATCH($U157,ロジックテーブル!$C$6:$C$32,0),MATCH(W153,ロジックテーブル!$D$5:$AD$5,0))</f>
        <v>-</v>
      </c>
      <c r="X154" s="2" t="str">
        <f>INDEX(ロジックテーブル!$D$6:$AD$32,MATCH($U157,ロジックテーブル!$C$6:$C$32,0),MATCH(X153,ロジックテーブル!$D$5:$AD$5,0))</f>
        <v>-</v>
      </c>
      <c r="Y154" s="2" t="str">
        <f>INDEX(ロジックテーブル!$D$6:$AD$32,MATCH($U157,ロジックテーブル!$C$6:$C$32,0),MATCH(Y153,ロジックテーブル!$D$5:$AD$5,0))</f>
        <v>-</v>
      </c>
      <c r="Z154" s="2" t="str">
        <f>INDEX(ロジックテーブル!$D$6:$AD$32,MATCH($U157,ロジックテーブル!$C$6:$C$32,0),MATCH(Z153,ロジックテーブル!$D$5:$AD$5,0))</f>
        <v>-</v>
      </c>
      <c r="AA154" s="2" t="str">
        <f>INDEX(ロジックテーブル!$D$6:$AD$32,MATCH($U157,ロジックテーブル!$C$6:$C$32,0),MATCH(AA153,ロジックテーブル!$D$5:$AD$5,0))</f>
        <v>-</v>
      </c>
      <c r="AB154" s="2" t="str">
        <f>INDEX(ロジックテーブル!$D$6:$AD$32,MATCH($U157,ロジックテーブル!$C$6:$C$32,0),MATCH(AB153,ロジックテーブル!$D$5:$AD$5,0))</f>
        <v>-</v>
      </c>
      <c r="AC154" s="2" t="str">
        <f>INDEX(ロジックテーブル!$D$6:$AD$32,MATCH($U157,ロジックテーブル!$C$6:$C$32,0),MATCH(AC153,ロジックテーブル!$D$5:$AD$5,0))</f>
        <v>-</v>
      </c>
      <c r="AD154" s="2" t="str">
        <f>INDEX(ロジックテーブル!$D$6:$AD$32,MATCH($U157,ロジックテーブル!$C$6:$C$32,0),MATCH(AD153,ロジックテーブル!$D$5:$AD$5,0))</f>
        <v>-</v>
      </c>
      <c r="AE154" s="2" t="str">
        <f>INDEX(ロジックテーブル!$D$6:$AD$32,MATCH($U157,ロジックテーブル!$C$6:$C$32,0),MATCH(AE153,ロジックテーブル!$D$5:$AD$5,0))</f>
        <v>ネットショット</v>
      </c>
      <c r="AF154" s="2" t="str">
        <f>INDEX(ロジックテーブル!$D$6:$AD$32,MATCH($U157,ロジックテーブル!$C$6:$C$32,0),MATCH(AF153,ロジックテーブル!$D$5:$AD$5,0))</f>
        <v>バリア</v>
      </c>
      <c r="AG154" s="2" t="str">
        <f>INDEX(ロジックテーブル!$D$6:$AD$32,MATCH($U157,ロジックテーブル!$C$6:$C$32,0),MATCH(AG153,ロジックテーブル!$D$5:$AD$5,0))</f>
        <v>バリア</v>
      </c>
      <c r="AH154" s="2" t="str">
        <f>INDEX(ロジックテーブル!$D$6:$AD$32,MATCH($U157,ロジックテーブル!$C$6:$C$32,0),MATCH(AH153,ロジックテーブル!$D$5:$AD$5,0))</f>
        <v>バリア</v>
      </c>
      <c r="AI154" s="2" t="str">
        <f>INDEX(ロジックテーブル!$D$6:$AD$32,MATCH($U157,ロジックテーブル!$C$6:$C$32,0),MATCH(AI153,ロジックテーブル!$D$5:$AD$5,0))</f>
        <v>核自爆</v>
      </c>
      <c r="AJ154" s="2" t="str">
        <f>INDEX(ロジックテーブル!$D$6:$AD$32,MATCH($U157,ロジックテーブル!$C$6:$C$32,0),MATCH(AJ153,ロジックテーブル!$D$5:$AD$5,0))</f>
        <v>核自爆</v>
      </c>
      <c r="AK154" s="2" t="str">
        <f>INDEX(ロジックテーブル!$D$6:$AD$32,MATCH($U157,ロジックテーブル!$C$6:$C$32,0),MATCH(AK153,ロジックテーブル!$D$5:$AD$5,0))</f>
        <v>-</v>
      </c>
      <c r="AL154" s="2" t="str">
        <f>INDEX(ロジックテーブル!$D$6:$AD$32,MATCH($U157,ロジックテーブル!$C$6:$C$32,0),MATCH(AL153,ロジックテーブル!$D$5:$AD$5,0))</f>
        <v>-</v>
      </c>
      <c r="AM154" s="2" t="str">
        <f>INDEX(ロジックテーブル!$D$6:$AD$32,MATCH($U157,ロジックテーブル!$C$6:$C$32,0),MATCH(AM153,ロジックテーブル!$D$5:$AD$5,0))</f>
        <v>-</v>
      </c>
      <c r="AN154" s="2" t="str">
        <f>INDEX(ロジックテーブル!$D$6:$AD$32,MATCH($U157,ロジックテーブル!$C$6:$C$32,0),MATCH(AN153,ロジックテーブル!$D$5:$AD$5,0))</f>
        <v>-</v>
      </c>
      <c r="AO154" s="2" t="str">
        <f>INDEX(ロジックテーブル!$D$6:$AD$32,MATCH($U157,ロジックテーブル!$C$6:$C$32,0),MATCH(AO153,ロジックテーブル!$D$5:$AD$5,0))</f>
        <v>-</v>
      </c>
      <c r="AP154" s="2" t="str">
        <f>INDEX(ロジックテーブル!$D$6:$AD$32,MATCH($U157,ロジックテーブル!$C$6:$C$32,0),MATCH(AP153,ロジックテーブル!$D$5:$AD$5,0))</f>
        <v>-</v>
      </c>
      <c r="AQ154" s="2" t="str">
        <f>INDEX(ロジックテーブル!$D$6:$AD$32,MATCH($U157,ロジックテーブル!$C$6:$C$32,0),MATCH(AQ153,ロジックテーブル!$D$5:$AD$5,0))</f>
        <v>-</v>
      </c>
      <c r="AR154" s="2" t="str">
        <f>INDEX(ロジックテーブル!$D$6:$AD$32,MATCH($U157,ロジックテーブル!$C$6:$C$32,0),MATCH(AR153,ロジックテーブル!$D$5:$AD$5,0))</f>
        <v>-</v>
      </c>
      <c r="AS154" s="2" t="str">
        <f>INDEX(ロジックテーブル!$D$6:$AD$32,MATCH($U157,ロジックテーブル!$C$6:$C$32,0),MATCH(AS153,ロジックテーブル!$D$5:$AD$5,0))</f>
        <v>セルフバーニング</v>
      </c>
      <c r="AT154" s="2" t="str">
        <f>INDEX(ロジックテーブル!$D$6:$AD$32,MATCH($U157,ロジックテーブル!$C$6:$C$32,0),MATCH(AT153,ロジックテーブル!$D$5:$AD$5,0))</f>
        <v>-</v>
      </c>
      <c r="AU154" s="2" t="str">
        <f>INDEX(ロジックテーブル!$D$6:$AD$32,MATCH($U157,ロジックテーブル!$C$6:$C$32,0),MATCH(AU153,ロジックテーブル!$D$5:$AD$5,0))</f>
        <v>-</v>
      </c>
    </row>
    <row r="155" spans="2:47" x14ac:dyDescent="0.15">
      <c r="B155" s="37"/>
      <c r="C155" s="37"/>
      <c r="D155" s="38" t="s">
        <v>113</v>
      </c>
      <c r="E155" s="129" t="s">
        <v>153</v>
      </c>
      <c r="F155" s="129"/>
      <c r="G155" s="129"/>
      <c r="H155" s="38" t="s">
        <v>115</v>
      </c>
      <c r="I155" s="45"/>
      <c r="J155" s="129" t="s">
        <v>148</v>
      </c>
      <c r="K155" s="129"/>
      <c r="L155" s="129"/>
      <c r="M155" s="42"/>
      <c r="N155" s="42"/>
      <c r="O155" s="42"/>
      <c r="P155" s="42"/>
      <c r="Q155" s="42"/>
      <c r="R155" s="45"/>
      <c r="T155" s="2" t="s">
        <v>154</v>
      </c>
      <c r="U155" s="2" t="str">
        <f t="shared" ref="U155:AB155" si="71">U153&amp;"_"&amp;IF(U154="-","(無効)","(有効)")</f>
        <v>短剣_(無効)</v>
      </c>
      <c r="V155" s="2" t="str">
        <f t="shared" si="71"/>
        <v>片手剣_(無効)</v>
      </c>
      <c r="W155" s="2" t="str">
        <f t="shared" si="71"/>
        <v>片手斧_(無効)</v>
      </c>
      <c r="X155" s="2" t="str">
        <f t="shared" si="71"/>
        <v>両手剣_(無効)</v>
      </c>
      <c r="Y155" s="2" t="str">
        <f t="shared" si="71"/>
        <v>両手斧_(無効)</v>
      </c>
      <c r="Z155" s="2" t="str">
        <f t="shared" si="71"/>
        <v>ハンマー_(無効)</v>
      </c>
      <c r="AA155" s="2" t="str">
        <f t="shared" si="71"/>
        <v>槍_(無効)</v>
      </c>
      <c r="AB155" s="2" t="str">
        <f t="shared" si="71"/>
        <v>杖_(無効)</v>
      </c>
      <c r="AC155" s="2" t="str">
        <f t="shared" ref="AC155:AU155" si="72">AC153&amp;"_"&amp;IF(AC154="-","(無効)","(有効)")</f>
        <v>ナックル_(無効)</v>
      </c>
      <c r="AD155" s="2" t="str">
        <f t="shared" si="72"/>
        <v>ヌンチャク_(無効)</v>
      </c>
      <c r="AE155" s="2" t="str">
        <f t="shared" si="72"/>
        <v>弓矢_(有効)</v>
      </c>
      <c r="AF155" s="2" t="str">
        <f t="shared" si="72"/>
        <v>盾_(有効)</v>
      </c>
      <c r="AG155" s="2" t="str">
        <f t="shared" si="72"/>
        <v>兜_(有効)</v>
      </c>
      <c r="AH155" s="2" t="str">
        <f t="shared" si="72"/>
        <v>帽子_(有効)</v>
      </c>
      <c r="AI155" s="2" t="str">
        <f t="shared" si="72"/>
        <v>鎧_(有効)</v>
      </c>
      <c r="AJ155" s="2" t="str">
        <f t="shared" si="72"/>
        <v>全身鎧_(有効)</v>
      </c>
      <c r="AK155" s="2" t="str">
        <f t="shared" si="72"/>
        <v>ローブ_(無効)</v>
      </c>
      <c r="AL155" s="2" t="str">
        <f t="shared" si="72"/>
        <v>小手_(無効)</v>
      </c>
      <c r="AM155" s="2" t="str">
        <f t="shared" si="72"/>
        <v>ブーツ_(無効)</v>
      </c>
      <c r="AN155" s="2" t="str">
        <f t="shared" si="72"/>
        <v>サンダル_(無効)</v>
      </c>
      <c r="AO155" s="2" t="str">
        <f t="shared" si="72"/>
        <v>マント_(無効)</v>
      </c>
      <c r="AP155" s="2" t="str">
        <f t="shared" si="72"/>
        <v>リング_(無効)</v>
      </c>
      <c r="AQ155" s="2" t="str">
        <f t="shared" si="72"/>
        <v>ペンダント_(無効)</v>
      </c>
      <c r="AR155" s="2" t="str">
        <f t="shared" si="72"/>
        <v>ハープ_(無効)</v>
      </c>
      <c r="AS155" s="2" t="str">
        <f t="shared" si="72"/>
        <v>マリンバ_(有効)</v>
      </c>
      <c r="AT155" s="2" t="str">
        <f t="shared" si="72"/>
        <v>フルート_(無効)</v>
      </c>
      <c r="AU155" s="2" t="str">
        <f t="shared" si="72"/>
        <v>ドラム_(無効)</v>
      </c>
    </row>
    <row r="156" spans="2:47" x14ac:dyDescent="0.15">
      <c r="B156" s="37"/>
      <c r="C156" s="40"/>
      <c r="D156" s="130" t="s">
        <v>72</v>
      </c>
      <c r="E156" s="129"/>
      <c r="F156" s="129"/>
      <c r="G156" s="129"/>
      <c r="H156" s="38" t="str">
        <f t="shared" ref="H156" si="73">IF(ISERROR(MATCH(U157,$AF153:$AQ153,0)),"攻撃力","防御力合計")</f>
        <v>防御力合計</v>
      </c>
      <c r="I156" s="45"/>
      <c r="J156" s="46"/>
      <c r="K156" s="47" t="str">
        <f t="shared" ref="K156" si="74">IF(H156="防御力合計","叩防","")</f>
        <v>叩防</v>
      </c>
      <c r="L156" s="48"/>
      <c r="M156" s="47" t="str">
        <f t="shared" ref="M156" si="75">IF(H156="防御力合計","斬防","")</f>
        <v>斬防</v>
      </c>
      <c r="N156" s="48"/>
      <c r="O156" s="47" t="str">
        <f t="shared" ref="O156" si="76">IF(H156="防御力合計","突防","")</f>
        <v>突防</v>
      </c>
      <c r="P156" s="48"/>
      <c r="Q156" s="47" t="str">
        <f t="shared" ref="Q156" si="77">IF(H156="防御力合計","魔防","")</f>
        <v>魔防</v>
      </c>
      <c r="R156" s="46"/>
      <c r="U156" s="2" t="s">
        <v>113</v>
      </c>
      <c r="W156" s="2" t="s">
        <v>115</v>
      </c>
      <c r="Z156" s="2" t="s">
        <v>118</v>
      </c>
      <c r="AA156" s="2" t="s">
        <v>119</v>
      </c>
      <c r="AC156" s="2" t="s">
        <v>120</v>
      </c>
      <c r="AD156" s="2" t="s">
        <v>121</v>
      </c>
    </row>
    <row r="157" spans="2:47" x14ac:dyDescent="0.15">
      <c r="B157" s="37"/>
      <c r="C157" s="35" t="s">
        <v>122</v>
      </c>
      <c r="D157" s="36"/>
      <c r="E157" s="36"/>
      <c r="F157" s="36"/>
      <c r="G157" s="36"/>
      <c r="H157" s="36"/>
      <c r="I157" s="36"/>
      <c r="J157" s="36"/>
      <c r="K157" s="36"/>
      <c r="L157" s="36"/>
      <c r="M157" s="44"/>
      <c r="N157" s="44"/>
      <c r="O157" s="44"/>
      <c r="P157" s="36"/>
      <c r="Q157" s="36"/>
      <c r="R157" s="56"/>
      <c r="T157" s="2" t="s">
        <v>155</v>
      </c>
      <c r="U157" s="2" t="str">
        <f t="shared" ref="U157" si="78">E155</f>
        <v>小手</v>
      </c>
      <c r="W157" s="2" t="str">
        <f t="shared" ref="W157" si="79">J155</f>
        <v>メノス銅</v>
      </c>
      <c r="Y157" s="2" t="str">
        <f t="shared" ref="Y157" si="80">H156</f>
        <v>防御力合計</v>
      </c>
      <c r="Z157" s="2" t="str">
        <f t="shared" ref="Z157" si="81">IF(ISBLANK(J156),"-",J156)</f>
        <v>-</v>
      </c>
      <c r="AA157" s="2" t="str">
        <f t="shared" ref="AA157" si="82">IF(OR(ISBLANK(L156),ISBLANK(N156),ISBLANK(P156),ISBLANK(R156)),"-",SUM(K156:R156))</f>
        <v>-</v>
      </c>
      <c r="AB157" s="2" t="str">
        <f t="shared" ref="AB157" si="83">D156</f>
        <v>防御力合計で計算</v>
      </c>
      <c r="AC157" s="2" t="str">
        <f t="shared" ref="AC157:AC158" si="84">IF(OR(Y157="攻撃力",AB157="防御力合計で計算"),Z157,AA157)</f>
        <v>-</v>
      </c>
      <c r="AD157" s="1">
        <f>INDEX(主原料マスタ!$D$5:$D$59,MATCH(W157,主原料マスタ!$B$5:$B$59,0))</f>
        <v>0</v>
      </c>
    </row>
    <row r="158" spans="2:47" x14ac:dyDescent="0.15">
      <c r="B158" s="37"/>
      <c r="C158" s="37"/>
      <c r="D158" s="41" t="s">
        <v>113</v>
      </c>
      <c r="E158" s="129" t="s">
        <v>156</v>
      </c>
      <c r="F158" s="129"/>
      <c r="G158" s="129"/>
      <c r="H158" s="38" t="s">
        <v>115</v>
      </c>
      <c r="I158" s="45"/>
      <c r="J158" s="129" t="s">
        <v>148</v>
      </c>
      <c r="K158" s="129"/>
      <c r="L158" s="129"/>
      <c r="M158" s="42"/>
      <c r="N158" s="42"/>
      <c r="O158" s="42"/>
      <c r="P158" s="42"/>
      <c r="Q158" s="42"/>
      <c r="R158" s="45"/>
      <c r="T158" s="2" t="s">
        <v>157</v>
      </c>
      <c r="U158" s="2" t="str">
        <f t="shared" ref="U158" si="85">E158</f>
        <v>小手_(無効)</v>
      </c>
      <c r="V158" s="2" t="str">
        <f t="shared" ref="V158" si="86">LEFT(U158,FIND("_",U158)-1)</f>
        <v>小手</v>
      </c>
      <c r="W158" s="2" t="str">
        <f t="shared" ref="W158" si="87">J158</f>
        <v>メノス銅</v>
      </c>
      <c r="Y158" s="2" t="str">
        <f t="shared" ref="Y158" si="88">H159</f>
        <v>防御力合計</v>
      </c>
      <c r="Z158" s="2" t="str">
        <f t="shared" ref="Z158" si="89">IF(ISBLANK(J159),"-",J159)</f>
        <v>-</v>
      </c>
      <c r="AA158" s="2" t="str">
        <f t="shared" ref="AA158" si="90">IF(OR(ISBLANK(L159),ISBLANK(N159),ISBLANK(P159),ISBLANK(R159)),"-",SUM(K159:R159))</f>
        <v>-</v>
      </c>
      <c r="AB158" s="2" t="str">
        <f t="shared" ref="AB158" si="91">D159</f>
        <v>防御力合計で計算</v>
      </c>
      <c r="AC158" s="2" t="str">
        <f t="shared" si="84"/>
        <v>-</v>
      </c>
      <c r="AD158" s="1">
        <f>INDEX(主原料マスタ!$D$5:$D$59,MATCH(W158,主原料マスタ!$B$5:$B$59,0))</f>
        <v>0</v>
      </c>
    </row>
    <row r="159" spans="2:47" x14ac:dyDescent="0.15">
      <c r="B159" s="37"/>
      <c r="C159" s="40"/>
      <c r="D159" s="130" t="s">
        <v>72</v>
      </c>
      <c r="E159" s="129"/>
      <c r="F159" s="129"/>
      <c r="G159" s="129"/>
      <c r="H159" s="38" t="str">
        <f t="shared" ref="H159" si="92">IF(ISERROR(MATCH(V158,$AF153:$AQ153,0)),"攻撃力","防御力合計")</f>
        <v>防御力合計</v>
      </c>
      <c r="I159" s="45"/>
      <c r="J159" s="46"/>
      <c r="K159" s="47" t="str">
        <f t="shared" ref="K159" si="93">IF(H159="防御力合計","叩防","")</f>
        <v>叩防</v>
      </c>
      <c r="L159" s="48"/>
      <c r="M159" s="47" t="str">
        <f t="shared" ref="M159" si="94">IF(H159="防御力合計","斬防","")</f>
        <v>斬防</v>
      </c>
      <c r="N159" s="48"/>
      <c r="O159" s="47" t="str">
        <f t="shared" ref="O159" si="95">IF(H159="防御力合計","突防","")</f>
        <v>突防</v>
      </c>
      <c r="P159" s="48"/>
      <c r="Q159" s="47" t="str">
        <f t="shared" ref="Q159" si="96">IF(H159="防御力合計","魔防","")</f>
        <v>魔防</v>
      </c>
      <c r="R159" s="46"/>
      <c r="W159" s="2" t="s">
        <v>127</v>
      </c>
      <c r="Z159" s="2" t="s">
        <v>128</v>
      </c>
      <c r="AA159" s="2" t="s">
        <v>102</v>
      </c>
      <c r="AB159" s="2" t="s">
        <v>129</v>
      </c>
      <c r="AD159" s="1">
        <f t="shared" ref="AD159" si="97">MOD(AD157+AD158,11)</f>
        <v>0</v>
      </c>
      <c r="AE159" s="61" t="str">
        <f>IF(U160="-","",INDEX(ロジック形状!$C$5:$C$26,MATCH(AD159,ロジック形状!$B$5:$B$26,0),))</f>
        <v/>
      </c>
    </row>
    <row r="160" spans="2:47" x14ac:dyDescent="0.15">
      <c r="B160" s="37"/>
      <c r="C160" s="35" t="s">
        <v>130</v>
      </c>
      <c r="D160" s="36"/>
      <c r="E160" s="36"/>
      <c r="F160" s="36"/>
      <c r="G160" s="36"/>
      <c r="H160" s="36"/>
      <c r="I160" s="36"/>
      <c r="J160" s="36"/>
      <c r="K160" s="36"/>
      <c r="L160" s="36"/>
      <c r="M160" s="36"/>
      <c r="N160" s="49" t="s">
        <v>131</v>
      </c>
      <c r="O160" s="50"/>
      <c r="P160" s="51"/>
      <c r="Q160" s="57" t="str">
        <f t="shared" ref="Q160:Q161" si="98">AE159</f>
        <v/>
      </c>
      <c r="R160" s="58"/>
      <c r="T160" s="2" t="s">
        <v>110</v>
      </c>
      <c r="U160" s="2" t="str">
        <f t="shared" ref="U160" si="99">INDEX(U154:AU154,,MATCH(V158,U153:AU153,0))</f>
        <v>-</v>
      </c>
      <c r="W160" s="2" t="str">
        <f>IF(U160="-","-",INDEX(ロジックマスタ!$D$5:$D$56,MATCH(U160,ロジックマスタ!$B$5:$B$56,0),))</f>
        <v>-</v>
      </c>
      <c r="Y160" s="2" t="s">
        <v>132</v>
      </c>
      <c r="Z160" s="1">
        <f t="shared" ref="Z160" si="100">IF(OR(AC157="-",AC158="-"),0,(AC157+AC158)/17)</f>
        <v>0</v>
      </c>
      <c r="AA160" s="1">
        <f t="shared" ref="AA160" si="101">ROUNDDOWN(MIN(MAX(Z160,0),9),0)</f>
        <v>0</v>
      </c>
      <c r="AB160" s="2" t="str">
        <f t="shared" ref="AB160" si="102">IF(OR(AA160=0,W160="-"),"","＋"&amp;AA160)</f>
        <v/>
      </c>
      <c r="AE160" s="61" t="str">
        <f>IF(U160="-","",INDEX(ロジック形状!$C$5:$C$26,MATCH(AD159,ロジック形状!$B$5:$B$26,0)+1,))</f>
        <v/>
      </c>
    </row>
    <row r="161" spans="2:47" x14ac:dyDescent="0.15">
      <c r="B161" s="40"/>
      <c r="C161" s="40"/>
      <c r="D161" s="38" t="s">
        <v>133</v>
      </c>
      <c r="E161" s="42"/>
      <c r="F161" s="42"/>
      <c r="G161" s="131" t="str">
        <f t="shared" ref="G161" si="103">U160&amp;AB160</f>
        <v>-</v>
      </c>
      <c r="H161" s="131"/>
      <c r="I161" s="131"/>
      <c r="J161" s="38" t="s">
        <v>127</v>
      </c>
      <c r="K161" s="42"/>
      <c r="L161" s="43" t="str">
        <f t="shared" ref="L161" si="104">W160</f>
        <v>-</v>
      </c>
      <c r="M161" s="52"/>
      <c r="N161" s="53"/>
      <c r="O161" s="54"/>
      <c r="P161" s="55"/>
      <c r="Q161" s="59" t="str">
        <f t="shared" si="98"/>
        <v/>
      </c>
      <c r="R161" s="60"/>
    </row>
    <row r="163" spans="2:47" x14ac:dyDescent="0.15">
      <c r="B163" s="35" t="s">
        <v>110</v>
      </c>
      <c r="C163" s="36"/>
      <c r="D163" s="36"/>
      <c r="E163" s="36"/>
      <c r="F163" s="36"/>
      <c r="G163" s="36"/>
      <c r="H163" s="36"/>
      <c r="I163" s="36"/>
      <c r="J163" s="36"/>
      <c r="K163" s="36"/>
      <c r="L163" s="36"/>
      <c r="M163" s="36"/>
      <c r="N163" s="36"/>
      <c r="O163" s="36"/>
      <c r="P163" s="36"/>
      <c r="Q163" s="36"/>
      <c r="R163" s="56"/>
      <c r="T163" s="2" t="s">
        <v>154</v>
      </c>
      <c r="U163" s="2" t="str">
        <f t="shared" si="8"/>
        <v>短剣</v>
      </c>
      <c r="V163" s="2" t="str">
        <f t="shared" si="8"/>
        <v>片手剣</v>
      </c>
      <c r="W163" s="2" t="str">
        <f t="shared" si="8"/>
        <v>片手斧</v>
      </c>
      <c r="X163" s="2" t="str">
        <f t="shared" si="8"/>
        <v>両手剣</v>
      </c>
      <c r="Y163" s="2" t="str">
        <f t="shared" si="8"/>
        <v>両手斧</v>
      </c>
      <c r="Z163" s="2" t="str">
        <f t="shared" si="8"/>
        <v>ハンマー</v>
      </c>
      <c r="AA163" s="2" t="str">
        <f t="shared" si="8"/>
        <v>槍</v>
      </c>
      <c r="AB163" s="2" t="str">
        <f t="shared" si="8"/>
        <v>杖</v>
      </c>
      <c r="AC163" s="2" t="str">
        <f t="shared" ref="AC163:AJ163" si="105">INDEX($A$2:$A$28,COLUMN()-COLUMN($U163)+1,)</f>
        <v>ナックル</v>
      </c>
      <c r="AD163" s="2" t="str">
        <f t="shared" si="105"/>
        <v>ヌンチャク</v>
      </c>
      <c r="AE163" s="2" t="str">
        <f t="shared" si="105"/>
        <v>弓矢</v>
      </c>
      <c r="AF163" s="2" t="str">
        <f t="shared" si="105"/>
        <v>盾</v>
      </c>
      <c r="AG163" s="2" t="str">
        <f t="shared" si="105"/>
        <v>兜</v>
      </c>
      <c r="AH163" s="2" t="str">
        <f t="shared" si="105"/>
        <v>帽子</v>
      </c>
      <c r="AI163" s="2" t="str">
        <f t="shared" si="105"/>
        <v>鎧</v>
      </c>
      <c r="AJ163" s="2" t="str">
        <f t="shared" si="105"/>
        <v>全身鎧</v>
      </c>
      <c r="AK163" s="2" t="str">
        <f t="shared" ref="AK163:AU163" si="106">INDEX($A$2:$A$28,COLUMN()-COLUMN($U163)+1,)</f>
        <v>ローブ</v>
      </c>
      <c r="AL163" s="2" t="str">
        <f t="shared" si="106"/>
        <v>小手</v>
      </c>
      <c r="AM163" s="2" t="str">
        <f t="shared" si="106"/>
        <v>ブーツ</v>
      </c>
      <c r="AN163" s="2" t="str">
        <f t="shared" si="106"/>
        <v>サンダル</v>
      </c>
      <c r="AO163" s="2" t="str">
        <f t="shared" si="106"/>
        <v>マント</v>
      </c>
      <c r="AP163" s="2" t="str">
        <f t="shared" si="106"/>
        <v>リング</v>
      </c>
      <c r="AQ163" s="2" t="str">
        <f t="shared" si="106"/>
        <v>ペンダント</v>
      </c>
      <c r="AR163" s="2" t="str">
        <f t="shared" si="106"/>
        <v>ハープ</v>
      </c>
      <c r="AS163" s="2" t="str">
        <f t="shared" si="106"/>
        <v>マリンバ</v>
      </c>
      <c r="AT163" s="2" t="str">
        <f t="shared" si="106"/>
        <v>フルート</v>
      </c>
      <c r="AU163" s="2" t="str">
        <f t="shared" si="106"/>
        <v>ドラム</v>
      </c>
    </row>
    <row r="164" spans="2:47" x14ac:dyDescent="0.15">
      <c r="B164" s="37"/>
      <c r="C164" s="35" t="s">
        <v>112</v>
      </c>
      <c r="D164" s="36"/>
      <c r="E164" s="36"/>
      <c r="F164" s="36"/>
      <c r="G164" s="36"/>
      <c r="H164" s="36"/>
      <c r="I164" s="36"/>
      <c r="J164" s="36"/>
      <c r="K164" s="44"/>
      <c r="L164" s="44"/>
      <c r="M164" s="44"/>
      <c r="N164" s="44"/>
      <c r="O164" s="44"/>
      <c r="P164" s="36"/>
      <c r="Q164" s="36"/>
      <c r="R164" s="56"/>
      <c r="T164" s="2" t="s">
        <v>110</v>
      </c>
      <c r="U164" s="2" t="str">
        <f>INDEX(ロジックテーブル!$D$6:$AD$32,MATCH($U167,ロジックテーブル!$C$6:$C$32,0),MATCH(U163,ロジックテーブル!$D$5:$AD$5,0))</f>
        <v>チェインスピア</v>
      </c>
      <c r="V164" s="2" t="str">
        <f>INDEX(ロジックテーブル!$D$6:$AD$32,MATCH($U167,ロジックテーブル!$C$6:$C$32,0),MATCH(V163,ロジックテーブル!$D$5:$AD$5,0))</f>
        <v>チェーンギロチン</v>
      </c>
      <c r="W164" s="2" t="str">
        <f>INDEX(ロジックテーブル!$D$6:$AD$32,MATCH($U167,ロジックテーブル!$C$6:$C$32,0),MATCH(W163,ロジックテーブル!$D$5:$AD$5,0))</f>
        <v>チェーンギロチン</v>
      </c>
      <c r="X164" s="2" t="str">
        <f>INDEX(ロジックテーブル!$D$6:$AD$32,MATCH($U167,ロジックテーブル!$C$6:$C$32,0),MATCH(X163,ロジックテーブル!$D$5:$AD$5,0))</f>
        <v>-</v>
      </c>
      <c r="Y164" s="2" t="str">
        <f>INDEX(ロジックテーブル!$D$6:$AD$32,MATCH($U167,ロジックテーブル!$C$6:$C$32,0),MATCH(Y163,ロジックテーブル!$D$5:$AD$5,0))</f>
        <v>-</v>
      </c>
      <c r="Z164" s="2" t="str">
        <f>INDEX(ロジックテーブル!$D$6:$AD$32,MATCH($U167,ロジックテーブル!$C$6:$C$32,0),MATCH(Z163,ロジックテーブル!$D$5:$AD$5,0))</f>
        <v>-</v>
      </c>
      <c r="AA164" s="2" t="str">
        <f>INDEX(ロジックテーブル!$D$6:$AD$32,MATCH($U167,ロジックテーブル!$C$6:$C$32,0),MATCH(AA163,ロジックテーブル!$D$5:$AD$5,0))</f>
        <v>-</v>
      </c>
      <c r="AB164" s="2" t="str">
        <f>INDEX(ロジックテーブル!$D$6:$AD$32,MATCH($U167,ロジックテーブル!$C$6:$C$32,0),MATCH(AB163,ロジックテーブル!$D$5:$AD$5,0))</f>
        <v>-</v>
      </c>
      <c r="AC164" s="2" t="str">
        <f>INDEX(ロジックテーブル!$D$6:$AD$32,MATCH($U167,ロジックテーブル!$C$6:$C$32,0),MATCH(AC163,ロジックテーブル!$D$5:$AD$5,0))</f>
        <v>チェインドリル</v>
      </c>
      <c r="AD164" s="2" t="str">
        <f>INDEX(ロジックテーブル!$D$6:$AD$32,MATCH($U167,ロジックテーブル!$C$6:$C$32,0),MATCH(AD163,ロジックテーブル!$D$5:$AD$5,0))</f>
        <v>-</v>
      </c>
      <c r="AE164" s="2" t="str">
        <f>INDEX(ロジックテーブル!$D$6:$AD$32,MATCH($U167,ロジックテーブル!$C$6:$C$32,0),MATCH(AE163,ロジックテーブル!$D$5:$AD$5,0))</f>
        <v>-</v>
      </c>
      <c r="AF164" s="2" t="str">
        <f>INDEX(ロジックテーブル!$D$6:$AD$32,MATCH($U167,ロジックテーブル!$C$6:$C$32,0),MATCH(AF163,ロジックテーブル!$D$5:$AD$5,0))</f>
        <v>-</v>
      </c>
      <c r="AG164" s="2" t="str">
        <f>INDEX(ロジックテーブル!$D$6:$AD$32,MATCH($U167,ロジックテーブル!$C$6:$C$32,0),MATCH(AG163,ロジックテーブル!$D$5:$AD$5,0))</f>
        <v>-</v>
      </c>
      <c r="AH164" s="2" t="str">
        <f>INDEX(ロジックテーブル!$D$6:$AD$32,MATCH($U167,ロジックテーブル!$C$6:$C$32,0),MATCH(AH163,ロジックテーブル!$D$5:$AD$5,0))</f>
        <v>-</v>
      </c>
      <c r="AI164" s="2" t="str">
        <f>INDEX(ロジックテーブル!$D$6:$AD$32,MATCH($U167,ロジックテーブル!$C$6:$C$32,0),MATCH(AI163,ロジックテーブル!$D$5:$AD$5,0))</f>
        <v>-</v>
      </c>
      <c r="AJ164" s="2" t="str">
        <f>INDEX(ロジックテーブル!$D$6:$AD$32,MATCH($U167,ロジックテーブル!$C$6:$C$32,0),MATCH(AJ163,ロジックテーブル!$D$5:$AD$5,0))</f>
        <v>-</v>
      </c>
      <c r="AK164" s="2" t="str">
        <f>INDEX(ロジックテーブル!$D$6:$AD$32,MATCH($U167,ロジックテーブル!$C$6:$C$32,0),MATCH(AK163,ロジックテーブル!$D$5:$AD$5,0))</f>
        <v>-</v>
      </c>
      <c r="AL164" s="2" t="str">
        <f>INDEX(ロジックテーブル!$D$6:$AD$32,MATCH($U167,ロジックテーブル!$C$6:$C$32,0),MATCH(AL163,ロジックテーブル!$D$5:$AD$5,0))</f>
        <v>-</v>
      </c>
      <c r="AM164" s="2" t="str">
        <f>INDEX(ロジックテーブル!$D$6:$AD$32,MATCH($U167,ロジックテーブル!$C$6:$C$32,0),MATCH(AM163,ロジックテーブル!$D$5:$AD$5,0))</f>
        <v>-</v>
      </c>
      <c r="AN164" s="2" t="str">
        <f>INDEX(ロジックテーブル!$D$6:$AD$32,MATCH($U167,ロジックテーブル!$C$6:$C$32,0),MATCH(AN163,ロジックテーブル!$D$5:$AD$5,0))</f>
        <v>-</v>
      </c>
      <c r="AO164" s="2" t="str">
        <f>INDEX(ロジックテーブル!$D$6:$AD$32,MATCH($U167,ロジックテーブル!$C$6:$C$32,0),MATCH(AO163,ロジックテーブル!$D$5:$AD$5,0))</f>
        <v>-</v>
      </c>
      <c r="AP164" s="2" t="str">
        <f>INDEX(ロジックテーブル!$D$6:$AD$32,MATCH($U167,ロジックテーブル!$C$6:$C$32,0),MATCH(AP163,ロジックテーブル!$D$5:$AD$5,0))</f>
        <v>-</v>
      </c>
      <c r="AQ164" s="2" t="str">
        <f>INDEX(ロジックテーブル!$D$6:$AD$32,MATCH($U167,ロジックテーブル!$C$6:$C$32,0),MATCH(AQ163,ロジックテーブル!$D$5:$AD$5,0))</f>
        <v>-</v>
      </c>
      <c r="AR164" s="2" t="str">
        <f>INDEX(ロジックテーブル!$D$6:$AD$32,MATCH($U167,ロジックテーブル!$C$6:$C$32,0),MATCH(AR163,ロジックテーブル!$D$5:$AD$5,0))</f>
        <v>ドリルロケット</v>
      </c>
      <c r="AS164" s="2" t="str">
        <f>INDEX(ロジックテーブル!$D$6:$AD$32,MATCH($U167,ロジックテーブル!$C$6:$C$32,0),MATCH(AS163,ロジックテーブル!$D$5:$AD$5,0))</f>
        <v>-</v>
      </c>
      <c r="AT164" s="2" t="str">
        <f>INDEX(ロジックテーブル!$D$6:$AD$32,MATCH($U167,ロジックテーブル!$C$6:$C$32,0),MATCH(AT163,ロジックテーブル!$D$5:$AD$5,0))</f>
        <v>-</v>
      </c>
      <c r="AU164" s="2" t="str">
        <f>INDEX(ロジックテーブル!$D$6:$AD$32,MATCH($U167,ロジックテーブル!$C$6:$C$32,0),MATCH(AU163,ロジックテーブル!$D$5:$AD$5,0))</f>
        <v>-</v>
      </c>
    </row>
    <row r="165" spans="2:47" x14ac:dyDescent="0.15">
      <c r="B165" s="37"/>
      <c r="C165" s="37"/>
      <c r="D165" s="38" t="s">
        <v>113</v>
      </c>
      <c r="E165" s="129" t="s">
        <v>158</v>
      </c>
      <c r="F165" s="129"/>
      <c r="G165" s="129"/>
      <c r="H165" s="38" t="s">
        <v>115</v>
      </c>
      <c r="I165" s="45"/>
      <c r="J165" s="129" t="s">
        <v>148</v>
      </c>
      <c r="K165" s="129"/>
      <c r="L165" s="129"/>
      <c r="M165" s="42"/>
      <c r="N165" s="42"/>
      <c r="O165" s="42"/>
      <c r="P165" s="42"/>
      <c r="Q165" s="42"/>
      <c r="R165" s="45"/>
      <c r="T165" s="2" t="s">
        <v>159</v>
      </c>
      <c r="U165" s="2" t="str">
        <f t="shared" ref="U165:AB165" si="107">U163&amp;"_"&amp;IF(U164="-","(無効)","(有効)")</f>
        <v>短剣_(有効)</v>
      </c>
      <c r="V165" s="2" t="str">
        <f t="shared" si="107"/>
        <v>片手剣_(有効)</v>
      </c>
      <c r="W165" s="2" t="str">
        <f t="shared" si="107"/>
        <v>片手斧_(有効)</v>
      </c>
      <c r="X165" s="2" t="str">
        <f t="shared" si="107"/>
        <v>両手剣_(無効)</v>
      </c>
      <c r="Y165" s="2" t="str">
        <f t="shared" si="107"/>
        <v>両手斧_(無効)</v>
      </c>
      <c r="Z165" s="2" t="str">
        <f t="shared" si="107"/>
        <v>ハンマー_(無効)</v>
      </c>
      <c r="AA165" s="2" t="str">
        <f t="shared" si="107"/>
        <v>槍_(無効)</v>
      </c>
      <c r="AB165" s="2" t="str">
        <f t="shared" si="107"/>
        <v>杖_(無効)</v>
      </c>
      <c r="AC165" s="2" t="str">
        <f t="shared" ref="AC165:AU165" si="108">AC163&amp;"_"&amp;IF(AC164="-","(無効)","(有効)")</f>
        <v>ナックル_(有効)</v>
      </c>
      <c r="AD165" s="2" t="str">
        <f t="shared" si="108"/>
        <v>ヌンチャク_(無効)</v>
      </c>
      <c r="AE165" s="2" t="str">
        <f t="shared" si="108"/>
        <v>弓矢_(無効)</v>
      </c>
      <c r="AF165" s="2" t="str">
        <f t="shared" si="108"/>
        <v>盾_(無効)</v>
      </c>
      <c r="AG165" s="2" t="str">
        <f t="shared" si="108"/>
        <v>兜_(無効)</v>
      </c>
      <c r="AH165" s="2" t="str">
        <f t="shared" si="108"/>
        <v>帽子_(無効)</v>
      </c>
      <c r="AI165" s="2" t="str">
        <f t="shared" si="108"/>
        <v>鎧_(無効)</v>
      </c>
      <c r="AJ165" s="2" t="str">
        <f t="shared" si="108"/>
        <v>全身鎧_(無効)</v>
      </c>
      <c r="AK165" s="2" t="str">
        <f t="shared" si="108"/>
        <v>ローブ_(無効)</v>
      </c>
      <c r="AL165" s="2" t="str">
        <f t="shared" si="108"/>
        <v>小手_(無効)</v>
      </c>
      <c r="AM165" s="2" t="str">
        <f t="shared" si="108"/>
        <v>ブーツ_(無効)</v>
      </c>
      <c r="AN165" s="2" t="str">
        <f t="shared" si="108"/>
        <v>サンダル_(無効)</v>
      </c>
      <c r="AO165" s="2" t="str">
        <f t="shared" si="108"/>
        <v>マント_(無効)</v>
      </c>
      <c r="AP165" s="2" t="str">
        <f t="shared" si="108"/>
        <v>リング_(無効)</v>
      </c>
      <c r="AQ165" s="2" t="str">
        <f t="shared" si="108"/>
        <v>ペンダント_(無効)</v>
      </c>
      <c r="AR165" s="2" t="str">
        <f t="shared" si="108"/>
        <v>ハープ_(有効)</v>
      </c>
      <c r="AS165" s="2" t="str">
        <f t="shared" si="108"/>
        <v>マリンバ_(無効)</v>
      </c>
      <c r="AT165" s="2" t="str">
        <f t="shared" si="108"/>
        <v>フルート_(無効)</v>
      </c>
      <c r="AU165" s="2" t="str">
        <f t="shared" si="108"/>
        <v>ドラム_(無効)</v>
      </c>
    </row>
    <row r="166" spans="2:47" x14ac:dyDescent="0.15">
      <c r="B166" s="37"/>
      <c r="C166" s="40"/>
      <c r="D166" s="130" t="s">
        <v>72</v>
      </c>
      <c r="E166" s="129"/>
      <c r="F166" s="129"/>
      <c r="G166" s="129"/>
      <c r="H166" s="38" t="str">
        <f t="shared" ref="H166" si="109">IF(ISERROR(MATCH(U167,$AF163:$AQ163,0)),"攻撃力","防御力合計")</f>
        <v>攻撃力</v>
      </c>
      <c r="I166" s="45"/>
      <c r="J166" s="46"/>
      <c r="K166" s="47" t="str">
        <f t="shared" ref="K166" si="110">IF(H166="防御力合計","叩防","")</f>
        <v/>
      </c>
      <c r="L166" s="48"/>
      <c r="M166" s="47" t="str">
        <f t="shared" ref="M166" si="111">IF(H166="防御力合計","斬防","")</f>
        <v/>
      </c>
      <c r="N166" s="48"/>
      <c r="O166" s="47" t="str">
        <f t="shared" ref="O166" si="112">IF(H166="防御力合計","突防","")</f>
        <v/>
      </c>
      <c r="P166" s="48"/>
      <c r="Q166" s="47" t="str">
        <f t="shared" ref="Q166" si="113">IF(H166="防御力合計","魔防","")</f>
        <v/>
      </c>
      <c r="R166" s="46"/>
      <c r="U166" s="2" t="s">
        <v>113</v>
      </c>
      <c r="W166" s="2" t="s">
        <v>115</v>
      </c>
      <c r="Z166" s="2" t="s">
        <v>118</v>
      </c>
      <c r="AA166" s="2" t="s">
        <v>119</v>
      </c>
      <c r="AC166" s="2" t="s">
        <v>120</v>
      </c>
      <c r="AD166" s="2" t="s">
        <v>121</v>
      </c>
    </row>
    <row r="167" spans="2:47" x14ac:dyDescent="0.15">
      <c r="B167" s="37"/>
      <c r="C167" s="35" t="s">
        <v>122</v>
      </c>
      <c r="D167" s="36"/>
      <c r="E167" s="36"/>
      <c r="F167" s="36"/>
      <c r="G167" s="36"/>
      <c r="H167" s="36"/>
      <c r="I167" s="36"/>
      <c r="J167" s="36"/>
      <c r="K167" s="36"/>
      <c r="L167" s="36"/>
      <c r="M167" s="44"/>
      <c r="N167" s="44"/>
      <c r="O167" s="44"/>
      <c r="P167" s="36"/>
      <c r="Q167" s="36"/>
      <c r="R167" s="56"/>
      <c r="T167" s="2" t="s">
        <v>160</v>
      </c>
      <c r="U167" s="2" t="str">
        <f t="shared" ref="U167" si="114">E165</f>
        <v>短剣</v>
      </c>
      <c r="W167" s="2" t="str">
        <f t="shared" ref="W167" si="115">J165</f>
        <v>メノス銅</v>
      </c>
      <c r="Y167" s="2" t="str">
        <f t="shared" ref="Y167" si="116">H166</f>
        <v>攻撃力</v>
      </c>
      <c r="Z167" s="2" t="str">
        <f t="shared" ref="Z167" si="117">IF(ISBLANK(J166),"-",J166)</f>
        <v>-</v>
      </c>
      <c r="AA167" s="2" t="str">
        <f t="shared" ref="AA167" si="118">IF(OR(ISBLANK(L166),ISBLANK(N166),ISBLANK(P166),ISBLANK(R166)),"-",SUM(K166:R166))</f>
        <v>-</v>
      </c>
      <c r="AB167" s="2" t="str">
        <f t="shared" ref="AB167" si="119">D166</f>
        <v>防御力合計で計算</v>
      </c>
      <c r="AC167" s="2" t="str">
        <f t="shared" ref="AC167:AC168" si="120">IF(OR(Y167="攻撃力",AB167="防御力合計で計算"),Z167,AA167)</f>
        <v>-</v>
      </c>
      <c r="AD167" s="1">
        <f>INDEX(主原料マスタ!$D$5:$D$59,MATCH(W167,主原料マスタ!$B$5:$B$59,0))</f>
        <v>0</v>
      </c>
    </row>
    <row r="168" spans="2:47" x14ac:dyDescent="0.15">
      <c r="B168" s="37"/>
      <c r="C168" s="37"/>
      <c r="D168" s="41" t="s">
        <v>113</v>
      </c>
      <c r="E168" s="129" t="s">
        <v>161</v>
      </c>
      <c r="F168" s="129"/>
      <c r="G168" s="129"/>
      <c r="H168" s="38" t="s">
        <v>115</v>
      </c>
      <c r="I168" s="45"/>
      <c r="J168" s="129" t="s">
        <v>148</v>
      </c>
      <c r="K168" s="129"/>
      <c r="L168" s="129"/>
      <c r="M168" s="42"/>
      <c r="N168" s="42"/>
      <c r="O168" s="42"/>
      <c r="P168" s="42"/>
      <c r="Q168" s="42"/>
      <c r="R168" s="45"/>
      <c r="T168" s="2" t="s">
        <v>162</v>
      </c>
      <c r="U168" s="2" t="str">
        <f t="shared" ref="U168" si="121">E168</f>
        <v>短剣_(有効)</v>
      </c>
      <c r="V168" s="2" t="str">
        <f t="shared" ref="V168" si="122">LEFT(U168,FIND("_",U168)-1)</f>
        <v>短剣</v>
      </c>
      <c r="W168" s="2" t="str">
        <f t="shared" ref="W168" si="123">J168</f>
        <v>メノス銅</v>
      </c>
      <c r="Y168" s="2" t="str">
        <f t="shared" ref="Y168" si="124">H169</f>
        <v>攻撃力</v>
      </c>
      <c r="Z168" s="2" t="str">
        <f t="shared" ref="Z168" si="125">IF(ISBLANK(J169),"-",J169)</f>
        <v>-</v>
      </c>
      <c r="AA168" s="2" t="str">
        <f t="shared" ref="AA168" si="126">IF(OR(ISBLANK(L169),ISBLANK(N169),ISBLANK(P169),ISBLANK(R169)),"-",SUM(K169:R169))</f>
        <v>-</v>
      </c>
      <c r="AB168" s="2" t="str">
        <f t="shared" ref="AB168" si="127">D169</f>
        <v>防御力合計で計算</v>
      </c>
      <c r="AC168" s="2" t="str">
        <f t="shared" si="120"/>
        <v>-</v>
      </c>
      <c r="AD168" s="1">
        <f>INDEX(主原料マスタ!$D$5:$D$59,MATCH(W168,主原料マスタ!$B$5:$B$59,0))</f>
        <v>0</v>
      </c>
    </row>
    <row r="169" spans="2:47" x14ac:dyDescent="0.15">
      <c r="B169" s="37"/>
      <c r="C169" s="40"/>
      <c r="D169" s="130" t="s">
        <v>72</v>
      </c>
      <c r="E169" s="129"/>
      <c r="F169" s="129"/>
      <c r="G169" s="129"/>
      <c r="H169" s="38" t="str">
        <f t="shared" ref="H169" si="128">IF(ISERROR(MATCH(V168,$AF163:$AQ163,0)),"攻撃力","防御力合計")</f>
        <v>攻撃力</v>
      </c>
      <c r="I169" s="45"/>
      <c r="J169" s="46"/>
      <c r="K169" s="47" t="str">
        <f t="shared" ref="K169" si="129">IF(H169="防御力合計","叩防","")</f>
        <v/>
      </c>
      <c r="L169" s="48"/>
      <c r="M169" s="47" t="str">
        <f t="shared" ref="M169" si="130">IF(H169="防御力合計","斬防","")</f>
        <v/>
      </c>
      <c r="N169" s="48"/>
      <c r="O169" s="47" t="str">
        <f t="shared" ref="O169" si="131">IF(H169="防御力合計","突防","")</f>
        <v/>
      </c>
      <c r="P169" s="48"/>
      <c r="Q169" s="47" t="str">
        <f t="shared" ref="Q169" si="132">IF(H169="防御力合計","魔防","")</f>
        <v/>
      </c>
      <c r="R169" s="46"/>
      <c r="W169" s="2" t="s">
        <v>127</v>
      </c>
      <c r="Z169" s="2" t="s">
        <v>128</v>
      </c>
      <c r="AA169" s="2" t="s">
        <v>102</v>
      </c>
      <c r="AB169" s="2" t="s">
        <v>129</v>
      </c>
      <c r="AD169" s="1">
        <f t="shared" ref="AD169" si="133">MOD(AD167+AD168,11)</f>
        <v>0</v>
      </c>
      <c r="AE169" s="61" t="str">
        <f>IF(U170="-","",INDEX(ロジック形状!$C$5:$C$26,MATCH(AD169,ロジック形状!$B$5:$B$26,0),))</f>
        <v>□□□□</v>
      </c>
    </row>
    <row r="170" spans="2:47" x14ac:dyDescent="0.15">
      <c r="B170" s="37"/>
      <c r="C170" s="35" t="s">
        <v>130</v>
      </c>
      <c r="D170" s="36"/>
      <c r="E170" s="36"/>
      <c r="F170" s="36"/>
      <c r="G170" s="36"/>
      <c r="H170" s="36"/>
      <c r="I170" s="36"/>
      <c r="J170" s="36"/>
      <c r="K170" s="36"/>
      <c r="L170" s="36"/>
      <c r="M170" s="36"/>
      <c r="N170" s="49" t="s">
        <v>131</v>
      </c>
      <c r="O170" s="50"/>
      <c r="P170" s="51"/>
      <c r="Q170" s="57" t="str">
        <f t="shared" ref="Q170:Q171" si="134">AE169</f>
        <v>□□□□</v>
      </c>
      <c r="R170" s="58"/>
      <c r="T170" s="2" t="s">
        <v>110</v>
      </c>
      <c r="U170" s="2" t="str">
        <f t="shared" ref="U170" si="135">INDEX(U164:AU164,,MATCH(V168,U163:AU163,0))</f>
        <v>チェインスピア</v>
      </c>
      <c r="W170" s="2" t="str">
        <f>IF(U170="-","-",INDEX(ロジックマスタ!$D$5:$D$56,MATCH(U170,ロジックマスタ!$B$5:$B$56,0),))</f>
        <v>C</v>
      </c>
      <c r="Y170" s="2" t="s">
        <v>132</v>
      </c>
      <c r="Z170" s="1">
        <f t="shared" ref="Z170" si="136">IF(OR(AC167="-",AC168="-"),0,(AC167+AC168)/17)</f>
        <v>0</v>
      </c>
      <c r="AA170" s="1">
        <f t="shared" ref="AA170" si="137">ROUNDDOWN(MIN(MAX(Z170,0),9),0)</f>
        <v>0</v>
      </c>
      <c r="AB170" s="2" t="str">
        <f t="shared" ref="AB170" si="138">IF(OR(AA170=0,W170="-"),"","＋"&amp;AA170)</f>
        <v/>
      </c>
      <c r="AE170" s="61" t="str">
        <f>IF(U170="-","",INDEX(ロジック形状!$C$5:$C$26,MATCH(AD169,ロジック形状!$B$5:$B$26,0)+1,))</f>
        <v>■□□□</v>
      </c>
    </row>
    <row r="171" spans="2:47" x14ac:dyDescent="0.15">
      <c r="B171" s="40"/>
      <c r="C171" s="40"/>
      <c r="D171" s="38" t="s">
        <v>133</v>
      </c>
      <c r="E171" s="42"/>
      <c r="F171" s="42"/>
      <c r="G171" s="131" t="str">
        <f t="shared" ref="G171" si="139">U170&amp;AB170</f>
        <v>チェインスピア</v>
      </c>
      <c r="H171" s="131"/>
      <c r="I171" s="131"/>
      <c r="J171" s="38" t="s">
        <v>127</v>
      </c>
      <c r="K171" s="42"/>
      <c r="L171" s="43" t="str">
        <f t="shared" ref="L171" si="140">W170</f>
        <v>C</v>
      </c>
      <c r="M171" s="52"/>
      <c r="N171" s="53"/>
      <c r="O171" s="54"/>
      <c r="P171" s="55"/>
      <c r="Q171" s="59" t="str">
        <f t="shared" si="134"/>
        <v>■□□□</v>
      </c>
      <c r="R171" s="60"/>
    </row>
    <row r="173" spans="2:47" x14ac:dyDescent="0.15">
      <c r="B173" s="35" t="s">
        <v>110</v>
      </c>
      <c r="C173" s="36"/>
      <c r="D173" s="36"/>
      <c r="E173" s="36"/>
      <c r="F173" s="36"/>
      <c r="G173" s="36"/>
      <c r="H173" s="36"/>
      <c r="I173" s="36"/>
      <c r="J173" s="36"/>
      <c r="K173" s="36"/>
      <c r="L173" s="36"/>
      <c r="M173" s="36"/>
      <c r="N173" s="36"/>
      <c r="O173" s="36"/>
      <c r="P173" s="36"/>
      <c r="Q173" s="36"/>
      <c r="R173" s="56"/>
      <c r="T173" s="2" t="s">
        <v>159</v>
      </c>
      <c r="U173" s="2" t="str">
        <f t="shared" si="8"/>
        <v>短剣</v>
      </c>
      <c r="V173" s="2" t="str">
        <f t="shared" si="8"/>
        <v>片手剣</v>
      </c>
      <c r="W173" s="2" t="str">
        <f t="shared" si="8"/>
        <v>片手斧</v>
      </c>
      <c r="X173" s="2" t="str">
        <f t="shared" si="8"/>
        <v>両手剣</v>
      </c>
      <c r="Y173" s="2" t="str">
        <f t="shared" si="8"/>
        <v>両手斧</v>
      </c>
      <c r="Z173" s="2" t="str">
        <f t="shared" si="8"/>
        <v>ハンマー</v>
      </c>
      <c r="AA173" s="2" t="str">
        <f t="shared" si="8"/>
        <v>槍</v>
      </c>
      <c r="AB173" s="2" t="str">
        <f t="shared" si="8"/>
        <v>杖</v>
      </c>
      <c r="AC173" s="2" t="str">
        <f t="shared" ref="AC173:AJ173" si="141">INDEX($A$2:$A$28,COLUMN()-COLUMN($U173)+1,)</f>
        <v>ナックル</v>
      </c>
      <c r="AD173" s="2" t="str">
        <f t="shared" si="141"/>
        <v>ヌンチャク</v>
      </c>
      <c r="AE173" s="2" t="str">
        <f t="shared" si="141"/>
        <v>弓矢</v>
      </c>
      <c r="AF173" s="2" t="str">
        <f t="shared" si="141"/>
        <v>盾</v>
      </c>
      <c r="AG173" s="2" t="str">
        <f t="shared" si="141"/>
        <v>兜</v>
      </c>
      <c r="AH173" s="2" t="str">
        <f t="shared" si="141"/>
        <v>帽子</v>
      </c>
      <c r="AI173" s="2" t="str">
        <f t="shared" si="141"/>
        <v>鎧</v>
      </c>
      <c r="AJ173" s="2" t="str">
        <f t="shared" si="141"/>
        <v>全身鎧</v>
      </c>
      <c r="AK173" s="2" t="str">
        <f t="shared" ref="AK173:AU173" si="142">INDEX($A$2:$A$28,COLUMN()-COLUMN($U173)+1,)</f>
        <v>ローブ</v>
      </c>
      <c r="AL173" s="2" t="str">
        <f t="shared" si="142"/>
        <v>小手</v>
      </c>
      <c r="AM173" s="2" t="str">
        <f t="shared" si="142"/>
        <v>ブーツ</v>
      </c>
      <c r="AN173" s="2" t="str">
        <f t="shared" si="142"/>
        <v>サンダル</v>
      </c>
      <c r="AO173" s="2" t="str">
        <f t="shared" si="142"/>
        <v>マント</v>
      </c>
      <c r="AP173" s="2" t="str">
        <f t="shared" si="142"/>
        <v>リング</v>
      </c>
      <c r="AQ173" s="2" t="str">
        <f t="shared" si="142"/>
        <v>ペンダント</v>
      </c>
      <c r="AR173" s="2" t="str">
        <f t="shared" si="142"/>
        <v>ハープ</v>
      </c>
      <c r="AS173" s="2" t="str">
        <f t="shared" si="142"/>
        <v>マリンバ</v>
      </c>
      <c r="AT173" s="2" t="str">
        <f t="shared" si="142"/>
        <v>フルート</v>
      </c>
      <c r="AU173" s="2" t="str">
        <f t="shared" si="142"/>
        <v>ドラム</v>
      </c>
    </row>
    <row r="174" spans="2:47" x14ac:dyDescent="0.15">
      <c r="B174" s="37"/>
      <c r="C174" s="35" t="s">
        <v>112</v>
      </c>
      <c r="D174" s="36"/>
      <c r="E174" s="36"/>
      <c r="F174" s="36"/>
      <c r="G174" s="36"/>
      <c r="H174" s="36"/>
      <c r="I174" s="36"/>
      <c r="J174" s="36"/>
      <c r="K174" s="44"/>
      <c r="L174" s="44"/>
      <c r="M174" s="44"/>
      <c r="N174" s="44"/>
      <c r="O174" s="44"/>
      <c r="P174" s="36"/>
      <c r="Q174" s="36"/>
      <c r="R174" s="56"/>
      <c r="T174" s="2" t="s">
        <v>110</v>
      </c>
      <c r="U174" s="2" t="str">
        <f>INDEX(ロジックテーブル!$D$6:$AD$32,MATCH($U177,ロジックテーブル!$C$6:$C$32,0),MATCH(U173,ロジックテーブル!$D$5:$AD$5,0))</f>
        <v>チェインスピア</v>
      </c>
      <c r="V174" s="2" t="str">
        <f>INDEX(ロジックテーブル!$D$6:$AD$32,MATCH($U177,ロジックテーブル!$C$6:$C$32,0),MATCH(V173,ロジックテーブル!$D$5:$AD$5,0))</f>
        <v>チェーンギロチン</v>
      </c>
      <c r="W174" s="2" t="str">
        <f>INDEX(ロジックテーブル!$D$6:$AD$32,MATCH($U177,ロジックテーブル!$C$6:$C$32,0),MATCH(W173,ロジックテーブル!$D$5:$AD$5,0))</f>
        <v>チェーンギロチン</v>
      </c>
      <c r="X174" s="2" t="str">
        <f>INDEX(ロジックテーブル!$D$6:$AD$32,MATCH($U177,ロジックテーブル!$C$6:$C$32,0),MATCH(X173,ロジックテーブル!$D$5:$AD$5,0))</f>
        <v>-</v>
      </c>
      <c r="Y174" s="2" t="str">
        <f>INDEX(ロジックテーブル!$D$6:$AD$32,MATCH($U177,ロジックテーブル!$C$6:$C$32,0),MATCH(Y173,ロジックテーブル!$D$5:$AD$5,0))</f>
        <v>-</v>
      </c>
      <c r="Z174" s="2" t="str">
        <f>INDEX(ロジックテーブル!$D$6:$AD$32,MATCH($U177,ロジックテーブル!$C$6:$C$32,0),MATCH(Z173,ロジックテーブル!$D$5:$AD$5,0))</f>
        <v>-</v>
      </c>
      <c r="AA174" s="2" t="str">
        <f>INDEX(ロジックテーブル!$D$6:$AD$32,MATCH($U177,ロジックテーブル!$C$6:$C$32,0),MATCH(AA173,ロジックテーブル!$D$5:$AD$5,0))</f>
        <v>-</v>
      </c>
      <c r="AB174" s="2" t="str">
        <f>INDEX(ロジックテーブル!$D$6:$AD$32,MATCH($U177,ロジックテーブル!$C$6:$C$32,0),MATCH(AB173,ロジックテーブル!$D$5:$AD$5,0))</f>
        <v>-</v>
      </c>
      <c r="AC174" s="2" t="str">
        <f>INDEX(ロジックテーブル!$D$6:$AD$32,MATCH($U177,ロジックテーブル!$C$6:$C$32,0),MATCH(AC173,ロジックテーブル!$D$5:$AD$5,0))</f>
        <v>チェインドリル</v>
      </c>
      <c r="AD174" s="2" t="str">
        <f>INDEX(ロジックテーブル!$D$6:$AD$32,MATCH($U177,ロジックテーブル!$C$6:$C$32,0),MATCH(AD173,ロジックテーブル!$D$5:$AD$5,0))</f>
        <v>-</v>
      </c>
      <c r="AE174" s="2" t="str">
        <f>INDEX(ロジックテーブル!$D$6:$AD$32,MATCH($U177,ロジックテーブル!$C$6:$C$32,0),MATCH(AE173,ロジックテーブル!$D$5:$AD$5,0))</f>
        <v>-</v>
      </c>
      <c r="AF174" s="2" t="str">
        <f>INDEX(ロジックテーブル!$D$6:$AD$32,MATCH($U177,ロジックテーブル!$C$6:$C$32,0),MATCH(AF173,ロジックテーブル!$D$5:$AD$5,0))</f>
        <v>-</v>
      </c>
      <c r="AG174" s="2" t="str">
        <f>INDEX(ロジックテーブル!$D$6:$AD$32,MATCH($U177,ロジックテーブル!$C$6:$C$32,0),MATCH(AG173,ロジックテーブル!$D$5:$AD$5,0))</f>
        <v>-</v>
      </c>
      <c r="AH174" s="2" t="str">
        <f>INDEX(ロジックテーブル!$D$6:$AD$32,MATCH($U177,ロジックテーブル!$C$6:$C$32,0),MATCH(AH173,ロジックテーブル!$D$5:$AD$5,0))</f>
        <v>-</v>
      </c>
      <c r="AI174" s="2" t="str">
        <f>INDEX(ロジックテーブル!$D$6:$AD$32,MATCH($U177,ロジックテーブル!$C$6:$C$32,0),MATCH(AI173,ロジックテーブル!$D$5:$AD$5,0))</f>
        <v>-</v>
      </c>
      <c r="AJ174" s="2" t="str">
        <f>INDEX(ロジックテーブル!$D$6:$AD$32,MATCH($U177,ロジックテーブル!$C$6:$C$32,0),MATCH(AJ173,ロジックテーブル!$D$5:$AD$5,0))</f>
        <v>-</v>
      </c>
      <c r="AK174" s="2" t="str">
        <f>INDEX(ロジックテーブル!$D$6:$AD$32,MATCH($U177,ロジックテーブル!$C$6:$C$32,0),MATCH(AK173,ロジックテーブル!$D$5:$AD$5,0))</f>
        <v>-</v>
      </c>
      <c r="AL174" s="2" t="str">
        <f>INDEX(ロジックテーブル!$D$6:$AD$32,MATCH($U177,ロジックテーブル!$C$6:$C$32,0),MATCH(AL173,ロジックテーブル!$D$5:$AD$5,0))</f>
        <v>-</v>
      </c>
      <c r="AM174" s="2" t="str">
        <f>INDEX(ロジックテーブル!$D$6:$AD$32,MATCH($U177,ロジックテーブル!$C$6:$C$32,0),MATCH(AM173,ロジックテーブル!$D$5:$AD$5,0))</f>
        <v>-</v>
      </c>
      <c r="AN174" s="2" t="str">
        <f>INDEX(ロジックテーブル!$D$6:$AD$32,MATCH($U177,ロジックテーブル!$C$6:$C$32,0),MATCH(AN173,ロジックテーブル!$D$5:$AD$5,0))</f>
        <v>-</v>
      </c>
      <c r="AO174" s="2" t="str">
        <f>INDEX(ロジックテーブル!$D$6:$AD$32,MATCH($U177,ロジックテーブル!$C$6:$C$32,0),MATCH(AO173,ロジックテーブル!$D$5:$AD$5,0))</f>
        <v>-</v>
      </c>
      <c r="AP174" s="2" t="str">
        <f>INDEX(ロジックテーブル!$D$6:$AD$32,MATCH($U177,ロジックテーブル!$C$6:$C$32,0),MATCH(AP173,ロジックテーブル!$D$5:$AD$5,0))</f>
        <v>-</v>
      </c>
      <c r="AQ174" s="2" t="str">
        <f>INDEX(ロジックテーブル!$D$6:$AD$32,MATCH($U177,ロジックテーブル!$C$6:$C$32,0),MATCH(AQ173,ロジックテーブル!$D$5:$AD$5,0))</f>
        <v>-</v>
      </c>
      <c r="AR174" s="2" t="str">
        <f>INDEX(ロジックテーブル!$D$6:$AD$32,MATCH($U177,ロジックテーブル!$C$6:$C$32,0),MATCH(AR173,ロジックテーブル!$D$5:$AD$5,0))</f>
        <v>ドリルロケット</v>
      </c>
      <c r="AS174" s="2" t="str">
        <f>INDEX(ロジックテーブル!$D$6:$AD$32,MATCH($U177,ロジックテーブル!$C$6:$C$32,0),MATCH(AS173,ロジックテーブル!$D$5:$AD$5,0))</f>
        <v>-</v>
      </c>
      <c r="AT174" s="2" t="str">
        <f>INDEX(ロジックテーブル!$D$6:$AD$32,MATCH($U177,ロジックテーブル!$C$6:$C$32,0),MATCH(AT173,ロジックテーブル!$D$5:$AD$5,0))</f>
        <v>-</v>
      </c>
      <c r="AU174" s="2" t="str">
        <f>INDEX(ロジックテーブル!$D$6:$AD$32,MATCH($U177,ロジックテーブル!$C$6:$C$32,0),MATCH(AU173,ロジックテーブル!$D$5:$AD$5,0))</f>
        <v>-</v>
      </c>
    </row>
    <row r="175" spans="2:47" x14ac:dyDescent="0.15">
      <c r="B175" s="37"/>
      <c r="C175" s="37"/>
      <c r="D175" s="38" t="s">
        <v>113</v>
      </c>
      <c r="E175" s="129" t="s">
        <v>158</v>
      </c>
      <c r="F175" s="129"/>
      <c r="G175" s="129"/>
      <c r="H175" s="38" t="s">
        <v>115</v>
      </c>
      <c r="I175" s="45"/>
      <c r="J175" s="129" t="s">
        <v>148</v>
      </c>
      <c r="K175" s="129"/>
      <c r="L175" s="129"/>
      <c r="M175" s="42"/>
      <c r="N175" s="42"/>
      <c r="O175" s="42"/>
      <c r="P175" s="42"/>
      <c r="Q175" s="42"/>
      <c r="R175" s="45"/>
      <c r="T175" s="2" t="s">
        <v>163</v>
      </c>
      <c r="U175" s="2" t="str">
        <f t="shared" ref="U175:AB175" si="143">U173&amp;"_"&amp;IF(U174="-","(無効)","(有効)")</f>
        <v>短剣_(有効)</v>
      </c>
      <c r="V175" s="2" t="str">
        <f t="shared" si="143"/>
        <v>片手剣_(有効)</v>
      </c>
      <c r="W175" s="2" t="str">
        <f t="shared" si="143"/>
        <v>片手斧_(有効)</v>
      </c>
      <c r="X175" s="2" t="str">
        <f t="shared" si="143"/>
        <v>両手剣_(無効)</v>
      </c>
      <c r="Y175" s="2" t="str">
        <f t="shared" si="143"/>
        <v>両手斧_(無効)</v>
      </c>
      <c r="Z175" s="2" t="str">
        <f t="shared" si="143"/>
        <v>ハンマー_(無効)</v>
      </c>
      <c r="AA175" s="2" t="str">
        <f t="shared" si="143"/>
        <v>槍_(無効)</v>
      </c>
      <c r="AB175" s="2" t="str">
        <f t="shared" si="143"/>
        <v>杖_(無効)</v>
      </c>
      <c r="AC175" s="2" t="str">
        <f t="shared" ref="AC175:AU175" si="144">AC173&amp;"_"&amp;IF(AC174="-","(無効)","(有効)")</f>
        <v>ナックル_(有効)</v>
      </c>
      <c r="AD175" s="2" t="str">
        <f t="shared" si="144"/>
        <v>ヌンチャク_(無効)</v>
      </c>
      <c r="AE175" s="2" t="str">
        <f t="shared" si="144"/>
        <v>弓矢_(無効)</v>
      </c>
      <c r="AF175" s="2" t="str">
        <f t="shared" si="144"/>
        <v>盾_(無効)</v>
      </c>
      <c r="AG175" s="2" t="str">
        <f t="shared" si="144"/>
        <v>兜_(無効)</v>
      </c>
      <c r="AH175" s="2" t="str">
        <f t="shared" si="144"/>
        <v>帽子_(無効)</v>
      </c>
      <c r="AI175" s="2" t="str">
        <f t="shared" si="144"/>
        <v>鎧_(無効)</v>
      </c>
      <c r="AJ175" s="2" t="str">
        <f t="shared" si="144"/>
        <v>全身鎧_(無効)</v>
      </c>
      <c r="AK175" s="2" t="str">
        <f t="shared" si="144"/>
        <v>ローブ_(無効)</v>
      </c>
      <c r="AL175" s="2" t="str">
        <f t="shared" si="144"/>
        <v>小手_(無効)</v>
      </c>
      <c r="AM175" s="2" t="str">
        <f t="shared" si="144"/>
        <v>ブーツ_(無効)</v>
      </c>
      <c r="AN175" s="2" t="str">
        <f t="shared" si="144"/>
        <v>サンダル_(無効)</v>
      </c>
      <c r="AO175" s="2" t="str">
        <f t="shared" si="144"/>
        <v>マント_(無効)</v>
      </c>
      <c r="AP175" s="2" t="str">
        <f t="shared" si="144"/>
        <v>リング_(無効)</v>
      </c>
      <c r="AQ175" s="2" t="str">
        <f t="shared" si="144"/>
        <v>ペンダント_(無効)</v>
      </c>
      <c r="AR175" s="2" t="str">
        <f t="shared" si="144"/>
        <v>ハープ_(有効)</v>
      </c>
      <c r="AS175" s="2" t="str">
        <f t="shared" si="144"/>
        <v>マリンバ_(無効)</v>
      </c>
      <c r="AT175" s="2" t="str">
        <f t="shared" si="144"/>
        <v>フルート_(無効)</v>
      </c>
      <c r="AU175" s="2" t="str">
        <f t="shared" si="144"/>
        <v>ドラム_(無効)</v>
      </c>
    </row>
    <row r="176" spans="2:47" x14ac:dyDescent="0.15">
      <c r="B176" s="37"/>
      <c r="C176" s="40"/>
      <c r="D176" s="130" t="s">
        <v>72</v>
      </c>
      <c r="E176" s="129"/>
      <c r="F176" s="129"/>
      <c r="G176" s="129"/>
      <c r="H176" s="38" t="str">
        <f t="shared" ref="H176" si="145">IF(ISERROR(MATCH(U177,$AF173:$AQ173,0)),"攻撃力","防御力合計")</f>
        <v>攻撃力</v>
      </c>
      <c r="I176" s="45"/>
      <c r="J176" s="46"/>
      <c r="K176" s="47" t="str">
        <f t="shared" ref="K176" si="146">IF(H176="防御力合計","叩防","")</f>
        <v/>
      </c>
      <c r="L176" s="48"/>
      <c r="M176" s="47" t="str">
        <f t="shared" ref="M176" si="147">IF(H176="防御力合計","斬防","")</f>
        <v/>
      </c>
      <c r="N176" s="48"/>
      <c r="O176" s="47" t="str">
        <f t="shared" ref="O176" si="148">IF(H176="防御力合計","突防","")</f>
        <v/>
      </c>
      <c r="P176" s="48"/>
      <c r="Q176" s="47" t="str">
        <f t="shared" ref="Q176" si="149">IF(H176="防御力合計","魔防","")</f>
        <v/>
      </c>
      <c r="R176" s="46"/>
      <c r="U176" s="2" t="s">
        <v>113</v>
      </c>
      <c r="W176" s="2" t="s">
        <v>115</v>
      </c>
      <c r="Z176" s="2" t="s">
        <v>118</v>
      </c>
      <c r="AA176" s="2" t="s">
        <v>119</v>
      </c>
      <c r="AC176" s="2" t="s">
        <v>120</v>
      </c>
      <c r="AD176" s="2" t="s">
        <v>121</v>
      </c>
    </row>
    <row r="177" spans="2:47" x14ac:dyDescent="0.15">
      <c r="B177" s="37"/>
      <c r="C177" s="35" t="s">
        <v>122</v>
      </c>
      <c r="D177" s="36"/>
      <c r="E177" s="36"/>
      <c r="F177" s="36"/>
      <c r="G177" s="36"/>
      <c r="H177" s="36"/>
      <c r="I177" s="36"/>
      <c r="J177" s="36"/>
      <c r="K177" s="36"/>
      <c r="L177" s="36"/>
      <c r="M177" s="44"/>
      <c r="N177" s="44"/>
      <c r="O177" s="44"/>
      <c r="P177" s="36"/>
      <c r="Q177" s="36"/>
      <c r="R177" s="56"/>
      <c r="T177" s="2" t="s">
        <v>164</v>
      </c>
      <c r="U177" s="2" t="str">
        <f t="shared" ref="U177" si="150">E175</f>
        <v>短剣</v>
      </c>
      <c r="W177" s="2" t="str">
        <f t="shared" ref="W177" si="151">J175</f>
        <v>メノス銅</v>
      </c>
      <c r="Y177" s="2" t="str">
        <f t="shared" ref="Y177" si="152">H176</f>
        <v>攻撃力</v>
      </c>
      <c r="Z177" s="2" t="str">
        <f t="shared" ref="Z177" si="153">IF(ISBLANK(J176),"-",J176)</f>
        <v>-</v>
      </c>
      <c r="AA177" s="2" t="str">
        <f t="shared" ref="AA177" si="154">IF(OR(ISBLANK(L176),ISBLANK(N176),ISBLANK(P176),ISBLANK(R176)),"-",SUM(K176:R176))</f>
        <v>-</v>
      </c>
      <c r="AB177" s="2" t="str">
        <f t="shared" ref="AB177" si="155">D176</f>
        <v>防御力合計で計算</v>
      </c>
      <c r="AC177" s="2" t="str">
        <f t="shared" ref="AC177:AC178" si="156">IF(OR(Y177="攻撃力",AB177="防御力合計で計算"),Z177,AA177)</f>
        <v>-</v>
      </c>
      <c r="AD177" s="1">
        <f>INDEX(主原料マスタ!$D$5:$D$59,MATCH(W177,主原料マスタ!$B$5:$B$59,0))</f>
        <v>0</v>
      </c>
    </row>
    <row r="178" spans="2:47" x14ac:dyDescent="0.15">
      <c r="B178" s="37"/>
      <c r="C178" s="37"/>
      <c r="D178" s="41" t="s">
        <v>113</v>
      </c>
      <c r="E178" s="129" t="s">
        <v>161</v>
      </c>
      <c r="F178" s="129"/>
      <c r="G178" s="129"/>
      <c r="H178" s="38" t="s">
        <v>115</v>
      </c>
      <c r="I178" s="45"/>
      <c r="J178" s="129" t="s">
        <v>148</v>
      </c>
      <c r="K178" s="129"/>
      <c r="L178" s="129"/>
      <c r="M178" s="42"/>
      <c r="N178" s="42"/>
      <c r="O178" s="42"/>
      <c r="P178" s="42"/>
      <c r="Q178" s="42"/>
      <c r="R178" s="45"/>
      <c r="T178" s="2" t="s">
        <v>165</v>
      </c>
      <c r="U178" s="2" t="str">
        <f t="shared" ref="U178" si="157">E178</f>
        <v>短剣_(有効)</v>
      </c>
      <c r="V178" s="2" t="str">
        <f t="shared" ref="V178" si="158">LEFT(U178,FIND("_",U178)-1)</f>
        <v>短剣</v>
      </c>
      <c r="W178" s="2" t="str">
        <f t="shared" ref="W178" si="159">J178</f>
        <v>メノス銅</v>
      </c>
      <c r="Y178" s="2" t="str">
        <f t="shared" ref="Y178" si="160">H179</f>
        <v>攻撃力</v>
      </c>
      <c r="Z178" s="2" t="str">
        <f t="shared" ref="Z178" si="161">IF(ISBLANK(J179),"-",J179)</f>
        <v>-</v>
      </c>
      <c r="AA178" s="2" t="str">
        <f t="shared" ref="AA178" si="162">IF(OR(ISBLANK(L179),ISBLANK(N179),ISBLANK(P179),ISBLANK(R179)),"-",SUM(K179:R179))</f>
        <v>-</v>
      </c>
      <c r="AB178" s="2" t="str">
        <f t="shared" ref="AB178" si="163">D179</f>
        <v>防御力合計で計算</v>
      </c>
      <c r="AC178" s="2" t="str">
        <f t="shared" si="156"/>
        <v>-</v>
      </c>
      <c r="AD178" s="1">
        <f>INDEX(主原料マスタ!$D$5:$D$59,MATCH(W178,主原料マスタ!$B$5:$B$59,0))</f>
        <v>0</v>
      </c>
    </row>
    <row r="179" spans="2:47" x14ac:dyDescent="0.15">
      <c r="B179" s="37"/>
      <c r="C179" s="40"/>
      <c r="D179" s="130" t="s">
        <v>72</v>
      </c>
      <c r="E179" s="129"/>
      <c r="F179" s="129"/>
      <c r="G179" s="129"/>
      <c r="H179" s="38" t="str">
        <f t="shared" ref="H179" si="164">IF(ISERROR(MATCH(V178,$AF173:$AQ173,0)),"攻撃力","防御力合計")</f>
        <v>攻撃力</v>
      </c>
      <c r="I179" s="45"/>
      <c r="J179" s="46"/>
      <c r="K179" s="47" t="str">
        <f t="shared" ref="K179" si="165">IF(H179="防御力合計","叩防","")</f>
        <v/>
      </c>
      <c r="L179" s="48"/>
      <c r="M179" s="47" t="str">
        <f t="shared" ref="M179" si="166">IF(H179="防御力合計","斬防","")</f>
        <v/>
      </c>
      <c r="N179" s="48"/>
      <c r="O179" s="47" t="str">
        <f t="shared" ref="O179" si="167">IF(H179="防御力合計","突防","")</f>
        <v/>
      </c>
      <c r="P179" s="48"/>
      <c r="Q179" s="47" t="str">
        <f t="shared" ref="Q179" si="168">IF(H179="防御力合計","魔防","")</f>
        <v/>
      </c>
      <c r="R179" s="46"/>
      <c r="W179" s="2" t="s">
        <v>127</v>
      </c>
      <c r="Z179" s="2" t="s">
        <v>128</v>
      </c>
      <c r="AA179" s="2" t="s">
        <v>102</v>
      </c>
      <c r="AB179" s="2" t="s">
        <v>129</v>
      </c>
      <c r="AD179" s="1">
        <f t="shared" ref="AD179" si="169">MOD(AD177+AD178,11)</f>
        <v>0</v>
      </c>
      <c r="AE179" s="61" t="str">
        <f>IF(U180="-","",INDEX(ロジック形状!$C$5:$C$26,MATCH(AD179,ロジック形状!$B$5:$B$26,0),))</f>
        <v>□□□□</v>
      </c>
    </row>
    <row r="180" spans="2:47" x14ac:dyDescent="0.15">
      <c r="B180" s="37"/>
      <c r="C180" s="35" t="s">
        <v>130</v>
      </c>
      <c r="D180" s="36"/>
      <c r="E180" s="36"/>
      <c r="F180" s="36"/>
      <c r="G180" s="36"/>
      <c r="H180" s="36"/>
      <c r="I180" s="36"/>
      <c r="J180" s="36"/>
      <c r="K180" s="36"/>
      <c r="L180" s="36"/>
      <c r="M180" s="36"/>
      <c r="N180" s="49" t="s">
        <v>131</v>
      </c>
      <c r="O180" s="50"/>
      <c r="P180" s="51"/>
      <c r="Q180" s="57" t="str">
        <f t="shared" ref="Q180:Q181" si="170">AE179</f>
        <v>□□□□</v>
      </c>
      <c r="R180" s="58"/>
      <c r="T180" s="2" t="s">
        <v>110</v>
      </c>
      <c r="U180" s="2" t="str">
        <f t="shared" ref="U180" si="171">INDEX(U174:AU174,,MATCH(V178,U173:AU173,0))</f>
        <v>チェインスピア</v>
      </c>
      <c r="W180" s="2" t="str">
        <f>IF(U180="-","-",INDEX(ロジックマスタ!$D$5:$D$56,MATCH(U180,ロジックマスタ!$B$5:$B$56,0),))</f>
        <v>C</v>
      </c>
      <c r="Y180" s="2" t="s">
        <v>132</v>
      </c>
      <c r="Z180" s="1">
        <f t="shared" ref="Z180" si="172">IF(OR(AC177="-",AC178="-"),0,(AC177+AC178)/17)</f>
        <v>0</v>
      </c>
      <c r="AA180" s="1">
        <f t="shared" ref="AA180" si="173">ROUNDDOWN(MIN(MAX(Z180,0),9),0)</f>
        <v>0</v>
      </c>
      <c r="AB180" s="2" t="str">
        <f t="shared" ref="AB180" si="174">IF(OR(AA180=0,W180="-"),"","＋"&amp;AA180)</f>
        <v/>
      </c>
      <c r="AE180" s="61" t="str">
        <f>IF(U180="-","",INDEX(ロジック形状!$C$5:$C$26,MATCH(AD179,ロジック形状!$B$5:$B$26,0)+1,))</f>
        <v>■□□□</v>
      </c>
    </row>
    <row r="181" spans="2:47" x14ac:dyDescent="0.15">
      <c r="B181" s="40"/>
      <c r="C181" s="40"/>
      <c r="D181" s="38" t="s">
        <v>133</v>
      </c>
      <c r="E181" s="42"/>
      <c r="F181" s="42"/>
      <c r="G181" s="131" t="str">
        <f t="shared" ref="G181" si="175">U180&amp;AB180</f>
        <v>チェインスピア</v>
      </c>
      <c r="H181" s="131"/>
      <c r="I181" s="131"/>
      <c r="J181" s="38" t="s">
        <v>127</v>
      </c>
      <c r="K181" s="42"/>
      <c r="L181" s="43" t="str">
        <f t="shared" ref="L181" si="176">W180</f>
        <v>C</v>
      </c>
      <c r="M181" s="52"/>
      <c r="N181" s="53"/>
      <c r="O181" s="54"/>
      <c r="P181" s="55"/>
      <c r="Q181" s="59" t="str">
        <f t="shared" si="170"/>
        <v>■□□□</v>
      </c>
      <c r="R181" s="60"/>
    </row>
    <row r="183" spans="2:47" x14ac:dyDescent="0.15">
      <c r="B183" s="35" t="s">
        <v>110</v>
      </c>
      <c r="C183" s="36"/>
      <c r="D183" s="36"/>
      <c r="E183" s="36"/>
      <c r="F183" s="36"/>
      <c r="G183" s="36"/>
      <c r="H183" s="36"/>
      <c r="I183" s="36"/>
      <c r="J183" s="36"/>
      <c r="K183" s="36"/>
      <c r="L183" s="36"/>
      <c r="M183" s="36"/>
      <c r="N183" s="36"/>
      <c r="O183" s="36"/>
      <c r="P183" s="36"/>
      <c r="Q183" s="36"/>
      <c r="R183" s="56"/>
      <c r="T183" s="2" t="s">
        <v>163</v>
      </c>
      <c r="U183" s="2" t="str">
        <f t="shared" si="8"/>
        <v>短剣</v>
      </c>
      <c r="V183" s="2" t="str">
        <f t="shared" si="8"/>
        <v>片手剣</v>
      </c>
      <c r="W183" s="2" t="str">
        <f t="shared" si="8"/>
        <v>片手斧</v>
      </c>
      <c r="X183" s="2" t="str">
        <f t="shared" si="8"/>
        <v>両手剣</v>
      </c>
      <c r="Y183" s="2" t="str">
        <f t="shared" si="8"/>
        <v>両手斧</v>
      </c>
      <c r="Z183" s="2" t="str">
        <f t="shared" si="8"/>
        <v>ハンマー</v>
      </c>
      <c r="AA183" s="2" t="str">
        <f t="shared" si="8"/>
        <v>槍</v>
      </c>
      <c r="AB183" s="2" t="str">
        <f t="shared" si="8"/>
        <v>杖</v>
      </c>
      <c r="AC183" s="2" t="str">
        <f t="shared" ref="AC183:AJ183" si="177">INDEX($A$2:$A$28,COLUMN()-COLUMN($U183)+1,)</f>
        <v>ナックル</v>
      </c>
      <c r="AD183" s="2" t="str">
        <f t="shared" si="177"/>
        <v>ヌンチャク</v>
      </c>
      <c r="AE183" s="2" t="str">
        <f t="shared" si="177"/>
        <v>弓矢</v>
      </c>
      <c r="AF183" s="2" t="str">
        <f t="shared" si="177"/>
        <v>盾</v>
      </c>
      <c r="AG183" s="2" t="str">
        <f t="shared" si="177"/>
        <v>兜</v>
      </c>
      <c r="AH183" s="2" t="str">
        <f t="shared" si="177"/>
        <v>帽子</v>
      </c>
      <c r="AI183" s="2" t="str">
        <f t="shared" si="177"/>
        <v>鎧</v>
      </c>
      <c r="AJ183" s="2" t="str">
        <f t="shared" si="177"/>
        <v>全身鎧</v>
      </c>
      <c r="AK183" s="2" t="str">
        <f t="shared" ref="AK183:AU183" si="178">INDEX($A$2:$A$28,COLUMN()-COLUMN($U183)+1,)</f>
        <v>ローブ</v>
      </c>
      <c r="AL183" s="2" t="str">
        <f t="shared" si="178"/>
        <v>小手</v>
      </c>
      <c r="AM183" s="2" t="str">
        <f t="shared" si="178"/>
        <v>ブーツ</v>
      </c>
      <c r="AN183" s="2" t="str">
        <f t="shared" si="178"/>
        <v>サンダル</v>
      </c>
      <c r="AO183" s="2" t="str">
        <f t="shared" si="178"/>
        <v>マント</v>
      </c>
      <c r="AP183" s="2" t="str">
        <f t="shared" si="178"/>
        <v>リング</v>
      </c>
      <c r="AQ183" s="2" t="str">
        <f t="shared" si="178"/>
        <v>ペンダント</v>
      </c>
      <c r="AR183" s="2" t="str">
        <f t="shared" si="178"/>
        <v>ハープ</v>
      </c>
      <c r="AS183" s="2" t="str">
        <f t="shared" si="178"/>
        <v>マリンバ</v>
      </c>
      <c r="AT183" s="2" t="str">
        <f t="shared" si="178"/>
        <v>フルート</v>
      </c>
      <c r="AU183" s="2" t="str">
        <f t="shared" si="178"/>
        <v>ドラム</v>
      </c>
    </row>
    <row r="184" spans="2:47" x14ac:dyDescent="0.15">
      <c r="B184" s="37"/>
      <c r="C184" s="35" t="s">
        <v>112</v>
      </c>
      <c r="D184" s="36"/>
      <c r="E184" s="36"/>
      <c r="F184" s="36"/>
      <c r="G184" s="36"/>
      <c r="H184" s="36"/>
      <c r="I184" s="36"/>
      <c r="J184" s="36"/>
      <c r="K184" s="44"/>
      <c r="L184" s="44"/>
      <c r="M184" s="44"/>
      <c r="N184" s="44"/>
      <c r="O184" s="44"/>
      <c r="P184" s="36"/>
      <c r="Q184" s="36"/>
      <c r="R184" s="56"/>
      <c r="T184" s="2" t="s">
        <v>110</v>
      </c>
      <c r="U184" s="2" t="str">
        <f>INDEX(ロジックテーブル!$D$6:$AD$32,MATCH($U187,ロジックテーブル!$C$6:$C$32,0),MATCH(U183,ロジックテーブル!$D$5:$AD$5,0))</f>
        <v>チェインスピア</v>
      </c>
      <c r="V184" s="2" t="str">
        <f>INDEX(ロジックテーブル!$D$6:$AD$32,MATCH($U187,ロジックテーブル!$C$6:$C$32,0),MATCH(V183,ロジックテーブル!$D$5:$AD$5,0))</f>
        <v>チェーンギロチン</v>
      </c>
      <c r="W184" s="2" t="str">
        <f>INDEX(ロジックテーブル!$D$6:$AD$32,MATCH($U187,ロジックテーブル!$C$6:$C$32,0),MATCH(W183,ロジックテーブル!$D$5:$AD$5,0))</f>
        <v>チェーンギロチン</v>
      </c>
      <c r="X184" s="2" t="str">
        <f>INDEX(ロジックテーブル!$D$6:$AD$32,MATCH($U187,ロジックテーブル!$C$6:$C$32,0),MATCH(X183,ロジックテーブル!$D$5:$AD$5,0))</f>
        <v>-</v>
      </c>
      <c r="Y184" s="2" t="str">
        <f>INDEX(ロジックテーブル!$D$6:$AD$32,MATCH($U187,ロジックテーブル!$C$6:$C$32,0),MATCH(Y183,ロジックテーブル!$D$5:$AD$5,0))</f>
        <v>-</v>
      </c>
      <c r="Z184" s="2" t="str">
        <f>INDEX(ロジックテーブル!$D$6:$AD$32,MATCH($U187,ロジックテーブル!$C$6:$C$32,0),MATCH(Z183,ロジックテーブル!$D$5:$AD$5,0))</f>
        <v>-</v>
      </c>
      <c r="AA184" s="2" t="str">
        <f>INDEX(ロジックテーブル!$D$6:$AD$32,MATCH($U187,ロジックテーブル!$C$6:$C$32,0),MATCH(AA183,ロジックテーブル!$D$5:$AD$5,0))</f>
        <v>-</v>
      </c>
      <c r="AB184" s="2" t="str">
        <f>INDEX(ロジックテーブル!$D$6:$AD$32,MATCH($U187,ロジックテーブル!$C$6:$C$32,0),MATCH(AB183,ロジックテーブル!$D$5:$AD$5,0))</f>
        <v>-</v>
      </c>
      <c r="AC184" s="2" t="str">
        <f>INDEX(ロジックテーブル!$D$6:$AD$32,MATCH($U187,ロジックテーブル!$C$6:$C$32,0),MATCH(AC183,ロジックテーブル!$D$5:$AD$5,0))</f>
        <v>チェインドリル</v>
      </c>
      <c r="AD184" s="2" t="str">
        <f>INDEX(ロジックテーブル!$D$6:$AD$32,MATCH($U187,ロジックテーブル!$C$6:$C$32,0),MATCH(AD183,ロジックテーブル!$D$5:$AD$5,0))</f>
        <v>-</v>
      </c>
      <c r="AE184" s="2" t="str">
        <f>INDEX(ロジックテーブル!$D$6:$AD$32,MATCH($U187,ロジックテーブル!$C$6:$C$32,0),MATCH(AE183,ロジックテーブル!$D$5:$AD$5,0))</f>
        <v>-</v>
      </c>
      <c r="AF184" s="2" t="str">
        <f>INDEX(ロジックテーブル!$D$6:$AD$32,MATCH($U187,ロジックテーブル!$C$6:$C$32,0),MATCH(AF183,ロジックテーブル!$D$5:$AD$5,0))</f>
        <v>-</v>
      </c>
      <c r="AG184" s="2" t="str">
        <f>INDEX(ロジックテーブル!$D$6:$AD$32,MATCH($U187,ロジックテーブル!$C$6:$C$32,0),MATCH(AG183,ロジックテーブル!$D$5:$AD$5,0))</f>
        <v>-</v>
      </c>
      <c r="AH184" s="2" t="str">
        <f>INDEX(ロジックテーブル!$D$6:$AD$32,MATCH($U187,ロジックテーブル!$C$6:$C$32,0),MATCH(AH183,ロジックテーブル!$D$5:$AD$5,0))</f>
        <v>-</v>
      </c>
      <c r="AI184" s="2" t="str">
        <f>INDEX(ロジックテーブル!$D$6:$AD$32,MATCH($U187,ロジックテーブル!$C$6:$C$32,0),MATCH(AI183,ロジックテーブル!$D$5:$AD$5,0))</f>
        <v>-</v>
      </c>
      <c r="AJ184" s="2" t="str">
        <f>INDEX(ロジックテーブル!$D$6:$AD$32,MATCH($U187,ロジックテーブル!$C$6:$C$32,0),MATCH(AJ183,ロジックテーブル!$D$5:$AD$5,0))</f>
        <v>-</v>
      </c>
      <c r="AK184" s="2" t="str">
        <f>INDEX(ロジックテーブル!$D$6:$AD$32,MATCH($U187,ロジックテーブル!$C$6:$C$32,0),MATCH(AK183,ロジックテーブル!$D$5:$AD$5,0))</f>
        <v>-</v>
      </c>
      <c r="AL184" s="2" t="str">
        <f>INDEX(ロジックテーブル!$D$6:$AD$32,MATCH($U187,ロジックテーブル!$C$6:$C$32,0),MATCH(AL183,ロジックテーブル!$D$5:$AD$5,0))</f>
        <v>-</v>
      </c>
      <c r="AM184" s="2" t="str">
        <f>INDEX(ロジックテーブル!$D$6:$AD$32,MATCH($U187,ロジックテーブル!$C$6:$C$32,0),MATCH(AM183,ロジックテーブル!$D$5:$AD$5,0))</f>
        <v>-</v>
      </c>
      <c r="AN184" s="2" t="str">
        <f>INDEX(ロジックテーブル!$D$6:$AD$32,MATCH($U187,ロジックテーブル!$C$6:$C$32,0),MATCH(AN183,ロジックテーブル!$D$5:$AD$5,0))</f>
        <v>-</v>
      </c>
      <c r="AO184" s="2" t="str">
        <f>INDEX(ロジックテーブル!$D$6:$AD$32,MATCH($U187,ロジックテーブル!$C$6:$C$32,0),MATCH(AO183,ロジックテーブル!$D$5:$AD$5,0))</f>
        <v>-</v>
      </c>
      <c r="AP184" s="2" t="str">
        <f>INDEX(ロジックテーブル!$D$6:$AD$32,MATCH($U187,ロジックテーブル!$C$6:$C$32,0),MATCH(AP183,ロジックテーブル!$D$5:$AD$5,0))</f>
        <v>-</v>
      </c>
      <c r="AQ184" s="2" t="str">
        <f>INDEX(ロジックテーブル!$D$6:$AD$32,MATCH($U187,ロジックテーブル!$C$6:$C$32,0),MATCH(AQ183,ロジックテーブル!$D$5:$AD$5,0))</f>
        <v>-</v>
      </c>
      <c r="AR184" s="2" t="str">
        <f>INDEX(ロジックテーブル!$D$6:$AD$32,MATCH($U187,ロジックテーブル!$C$6:$C$32,0),MATCH(AR183,ロジックテーブル!$D$5:$AD$5,0))</f>
        <v>ドリルロケット</v>
      </c>
      <c r="AS184" s="2" t="str">
        <f>INDEX(ロジックテーブル!$D$6:$AD$32,MATCH($U187,ロジックテーブル!$C$6:$C$32,0),MATCH(AS183,ロジックテーブル!$D$5:$AD$5,0))</f>
        <v>-</v>
      </c>
      <c r="AT184" s="2" t="str">
        <f>INDEX(ロジックテーブル!$D$6:$AD$32,MATCH($U187,ロジックテーブル!$C$6:$C$32,0),MATCH(AT183,ロジックテーブル!$D$5:$AD$5,0))</f>
        <v>-</v>
      </c>
      <c r="AU184" s="2" t="str">
        <f>INDEX(ロジックテーブル!$D$6:$AD$32,MATCH($U187,ロジックテーブル!$C$6:$C$32,0),MATCH(AU183,ロジックテーブル!$D$5:$AD$5,0))</f>
        <v>-</v>
      </c>
    </row>
    <row r="185" spans="2:47" x14ac:dyDescent="0.15">
      <c r="B185" s="37"/>
      <c r="C185" s="37"/>
      <c r="D185" s="38" t="s">
        <v>113</v>
      </c>
      <c r="E185" s="129" t="s">
        <v>158</v>
      </c>
      <c r="F185" s="129"/>
      <c r="G185" s="129"/>
      <c r="H185" s="38" t="s">
        <v>115</v>
      </c>
      <c r="I185" s="45"/>
      <c r="J185" s="129" t="s">
        <v>148</v>
      </c>
      <c r="K185" s="129"/>
      <c r="L185" s="129"/>
      <c r="M185" s="42"/>
      <c r="N185" s="42"/>
      <c r="O185" s="42"/>
      <c r="P185" s="42"/>
      <c r="Q185" s="42"/>
      <c r="R185" s="45"/>
      <c r="T185" s="2" t="s">
        <v>166</v>
      </c>
      <c r="U185" s="2" t="str">
        <f t="shared" ref="U185:AB185" si="179">U183&amp;"_"&amp;IF(U184="-","(無効)","(有効)")</f>
        <v>短剣_(有効)</v>
      </c>
      <c r="V185" s="2" t="str">
        <f t="shared" si="179"/>
        <v>片手剣_(有効)</v>
      </c>
      <c r="W185" s="2" t="str">
        <f t="shared" si="179"/>
        <v>片手斧_(有効)</v>
      </c>
      <c r="X185" s="2" t="str">
        <f t="shared" si="179"/>
        <v>両手剣_(無効)</v>
      </c>
      <c r="Y185" s="2" t="str">
        <f t="shared" si="179"/>
        <v>両手斧_(無効)</v>
      </c>
      <c r="Z185" s="2" t="str">
        <f t="shared" si="179"/>
        <v>ハンマー_(無効)</v>
      </c>
      <c r="AA185" s="2" t="str">
        <f t="shared" si="179"/>
        <v>槍_(無効)</v>
      </c>
      <c r="AB185" s="2" t="str">
        <f t="shared" si="179"/>
        <v>杖_(無効)</v>
      </c>
      <c r="AC185" s="2" t="str">
        <f t="shared" ref="AC185:AU185" si="180">AC183&amp;"_"&amp;IF(AC184="-","(無効)","(有効)")</f>
        <v>ナックル_(有効)</v>
      </c>
      <c r="AD185" s="2" t="str">
        <f t="shared" si="180"/>
        <v>ヌンチャク_(無効)</v>
      </c>
      <c r="AE185" s="2" t="str">
        <f t="shared" si="180"/>
        <v>弓矢_(無効)</v>
      </c>
      <c r="AF185" s="2" t="str">
        <f t="shared" si="180"/>
        <v>盾_(無効)</v>
      </c>
      <c r="AG185" s="2" t="str">
        <f t="shared" si="180"/>
        <v>兜_(無効)</v>
      </c>
      <c r="AH185" s="2" t="str">
        <f t="shared" si="180"/>
        <v>帽子_(無効)</v>
      </c>
      <c r="AI185" s="2" t="str">
        <f t="shared" si="180"/>
        <v>鎧_(無効)</v>
      </c>
      <c r="AJ185" s="2" t="str">
        <f t="shared" si="180"/>
        <v>全身鎧_(無効)</v>
      </c>
      <c r="AK185" s="2" t="str">
        <f t="shared" si="180"/>
        <v>ローブ_(無効)</v>
      </c>
      <c r="AL185" s="2" t="str">
        <f t="shared" si="180"/>
        <v>小手_(無効)</v>
      </c>
      <c r="AM185" s="2" t="str">
        <f t="shared" si="180"/>
        <v>ブーツ_(無効)</v>
      </c>
      <c r="AN185" s="2" t="str">
        <f t="shared" si="180"/>
        <v>サンダル_(無効)</v>
      </c>
      <c r="AO185" s="2" t="str">
        <f t="shared" si="180"/>
        <v>マント_(無効)</v>
      </c>
      <c r="AP185" s="2" t="str">
        <f t="shared" si="180"/>
        <v>リング_(無効)</v>
      </c>
      <c r="AQ185" s="2" t="str">
        <f t="shared" si="180"/>
        <v>ペンダント_(無効)</v>
      </c>
      <c r="AR185" s="2" t="str">
        <f t="shared" si="180"/>
        <v>ハープ_(有効)</v>
      </c>
      <c r="AS185" s="2" t="str">
        <f t="shared" si="180"/>
        <v>マリンバ_(無効)</v>
      </c>
      <c r="AT185" s="2" t="str">
        <f t="shared" si="180"/>
        <v>フルート_(無効)</v>
      </c>
      <c r="AU185" s="2" t="str">
        <f t="shared" si="180"/>
        <v>ドラム_(無効)</v>
      </c>
    </row>
    <row r="186" spans="2:47" x14ac:dyDescent="0.15">
      <c r="B186" s="37"/>
      <c r="C186" s="40"/>
      <c r="D186" s="130" t="s">
        <v>72</v>
      </c>
      <c r="E186" s="129"/>
      <c r="F186" s="129"/>
      <c r="G186" s="129"/>
      <c r="H186" s="38" t="str">
        <f t="shared" ref="H186" si="181">IF(ISERROR(MATCH(U187,$AF183:$AQ183,0)),"攻撃力","防御力合計")</f>
        <v>攻撃力</v>
      </c>
      <c r="I186" s="45"/>
      <c r="J186" s="46"/>
      <c r="K186" s="47" t="str">
        <f t="shared" ref="K186" si="182">IF(H186="防御力合計","叩防","")</f>
        <v/>
      </c>
      <c r="L186" s="48"/>
      <c r="M186" s="47" t="str">
        <f t="shared" ref="M186" si="183">IF(H186="防御力合計","斬防","")</f>
        <v/>
      </c>
      <c r="N186" s="48"/>
      <c r="O186" s="47" t="str">
        <f t="shared" ref="O186" si="184">IF(H186="防御力合計","突防","")</f>
        <v/>
      </c>
      <c r="P186" s="48"/>
      <c r="Q186" s="47" t="str">
        <f t="shared" ref="Q186" si="185">IF(H186="防御力合計","魔防","")</f>
        <v/>
      </c>
      <c r="R186" s="46"/>
      <c r="U186" s="2" t="s">
        <v>113</v>
      </c>
      <c r="W186" s="2" t="s">
        <v>115</v>
      </c>
      <c r="Z186" s="2" t="s">
        <v>118</v>
      </c>
      <c r="AA186" s="2" t="s">
        <v>119</v>
      </c>
      <c r="AC186" s="2" t="s">
        <v>120</v>
      </c>
      <c r="AD186" s="2" t="s">
        <v>121</v>
      </c>
    </row>
    <row r="187" spans="2:47" x14ac:dyDescent="0.15">
      <c r="B187" s="37"/>
      <c r="C187" s="35" t="s">
        <v>122</v>
      </c>
      <c r="D187" s="36"/>
      <c r="E187" s="36"/>
      <c r="F187" s="36"/>
      <c r="G187" s="36"/>
      <c r="H187" s="36"/>
      <c r="I187" s="36"/>
      <c r="J187" s="36"/>
      <c r="K187" s="36"/>
      <c r="L187" s="36"/>
      <c r="M187" s="44"/>
      <c r="N187" s="44"/>
      <c r="O187" s="44"/>
      <c r="P187" s="36"/>
      <c r="Q187" s="36"/>
      <c r="R187" s="56"/>
      <c r="T187" s="2" t="s">
        <v>167</v>
      </c>
      <c r="U187" s="2" t="str">
        <f t="shared" ref="U187" si="186">E185</f>
        <v>短剣</v>
      </c>
      <c r="W187" s="2" t="str">
        <f t="shared" ref="W187" si="187">J185</f>
        <v>メノス銅</v>
      </c>
      <c r="Y187" s="2" t="str">
        <f t="shared" ref="Y187" si="188">H186</f>
        <v>攻撃力</v>
      </c>
      <c r="Z187" s="2" t="str">
        <f t="shared" ref="Z187" si="189">IF(ISBLANK(J186),"-",J186)</f>
        <v>-</v>
      </c>
      <c r="AA187" s="2" t="str">
        <f t="shared" ref="AA187" si="190">IF(OR(ISBLANK(L186),ISBLANK(N186),ISBLANK(P186),ISBLANK(R186)),"-",SUM(K186:R186))</f>
        <v>-</v>
      </c>
      <c r="AB187" s="2" t="str">
        <f t="shared" ref="AB187" si="191">D186</f>
        <v>防御力合計で計算</v>
      </c>
      <c r="AC187" s="2" t="str">
        <f t="shared" ref="AC187:AC188" si="192">IF(OR(Y187="攻撃力",AB187="防御力合計で計算"),Z187,AA187)</f>
        <v>-</v>
      </c>
      <c r="AD187" s="1">
        <f>INDEX(主原料マスタ!$D$5:$D$59,MATCH(W187,主原料マスタ!$B$5:$B$59,0))</f>
        <v>0</v>
      </c>
    </row>
    <row r="188" spans="2:47" x14ac:dyDescent="0.15">
      <c r="B188" s="37"/>
      <c r="C188" s="37"/>
      <c r="D188" s="41" t="s">
        <v>113</v>
      </c>
      <c r="E188" s="129" t="s">
        <v>161</v>
      </c>
      <c r="F188" s="129"/>
      <c r="G188" s="129"/>
      <c r="H188" s="38" t="s">
        <v>115</v>
      </c>
      <c r="I188" s="45"/>
      <c r="J188" s="129" t="s">
        <v>148</v>
      </c>
      <c r="K188" s="129"/>
      <c r="L188" s="129"/>
      <c r="M188" s="42"/>
      <c r="N188" s="42"/>
      <c r="O188" s="42"/>
      <c r="P188" s="42"/>
      <c r="Q188" s="42"/>
      <c r="R188" s="45"/>
      <c r="T188" s="2" t="s">
        <v>168</v>
      </c>
      <c r="U188" s="2" t="str">
        <f t="shared" ref="U188" si="193">E188</f>
        <v>短剣_(有効)</v>
      </c>
      <c r="V188" s="2" t="str">
        <f t="shared" ref="V188" si="194">LEFT(U188,FIND("_",U188)-1)</f>
        <v>短剣</v>
      </c>
      <c r="W188" s="2" t="str">
        <f t="shared" ref="W188" si="195">J188</f>
        <v>メノス銅</v>
      </c>
      <c r="Y188" s="2" t="str">
        <f t="shared" ref="Y188" si="196">H189</f>
        <v>攻撃力</v>
      </c>
      <c r="Z188" s="2" t="str">
        <f t="shared" ref="Z188" si="197">IF(ISBLANK(J189),"-",J189)</f>
        <v>-</v>
      </c>
      <c r="AA188" s="2" t="str">
        <f t="shared" ref="AA188" si="198">IF(OR(ISBLANK(L189),ISBLANK(N189),ISBLANK(P189),ISBLANK(R189)),"-",SUM(K189:R189))</f>
        <v>-</v>
      </c>
      <c r="AB188" s="2" t="str">
        <f t="shared" ref="AB188" si="199">D189</f>
        <v>防御力合計で計算</v>
      </c>
      <c r="AC188" s="2" t="str">
        <f t="shared" si="192"/>
        <v>-</v>
      </c>
      <c r="AD188" s="1">
        <f>INDEX(主原料マスタ!$D$5:$D$59,MATCH(W188,主原料マスタ!$B$5:$B$59,0))</f>
        <v>0</v>
      </c>
    </row>
    <row r="189" spans="2:47" x14ac:dyDescent="0.15">
      <c r="B189" s="37"/>
      <c r="C189" s="40"/>
      <c r="D189" s="130" t="s">
        <v>72</v>
      </c>
      <c r="E189" s="129"/>
      <c r="F189" s="129"/>
      <c r="G189" s="129"/>
      <c r="H189" s="38" t="str">
        <f t="shared" ref="H189" si="200">IF(ISERROR(MATCH(V188,$AF183:$AQ183,0)),"攻撃力","防御力合計")</f>
        <v>攻撃力</v>
      </c>
      <c r="I189" s="45"/>
      <c r="J189" s="46"/>
      <c r="K189" s="47" t="str">
        <f t="shared" ref="K189" si="201">IF(H189="防御力合計","叩防","")</f>
        <v/>
      </c>
      <c r="L189" s="48"/>
      <c r="M189" s="47" t="str">
        <f t="shared" ref="M189" si="202">IF(H189="防御力合計","斬防","")</f>
        <v/>
      </c>
      <c r="N189" s="48"/>
      <c r="O189" s="47" t="str">
        <f t="shared" ref="O189" si="203">IF(H189="防御力合計","突防","")</f>
        <v/>
      </c>
      <c r="P189" s="48"/>
      <c r="Q189" s="47" t="str">
        <f t="shared" ref="Q189" si="204">IF(H189="防御力合計","魔防","")</f>
        <v/>
      </c>
      <c r="R189" s="46"/>
      <c r="W189" s="2" t="s">
        <v>127</v>
      </c>
      <c r="Z189" s="2" t="s">
        <v>128</v>
      </c>
      <c r="AA189" s="2" t="s">
        <v>102</v>
      </c>
      <c r="AB189" s="2" t="s">
        <v>129</v>
      </c>
      <c r="AD189" s="1">
        <f t="shared" ref="AD189" si="205">MOD(AD187+AD188,11)</f>
        <v>0</v>
      </c>
      <c r="AE189" s="61" t="str">
        <f>IF(U190="-","",INDEX(ロジック形状!$C$5:$C$26,MATCH(AD189,ロジック形状!$B$5:$B$26,0),))</f>
        <v>□□□□</v>
      </c>
    </row>
    <row r="190" spans="2:47" x14ac:dyDescent="0.15">
      <c r="B190" s="37"/>
      <c r="C190" s="35" t="s">
        <v>130</v>
      </c>
      <c r="D190" s="36"/>
      <c r="E190" s="36"/>
      <c r="F190" s="36"/>
      <c r="G190" s="36"/>
      <c r="H190" s="36"/>
      <c r="I190" s="36"/>
      <c r="J190" s="36"/>
      <c r="K190" s="36"/>
      <c r="L190" s="36"/>
      <c r="M190" s="36"/>
      <c r="N190" s="49" t="s">
        <v>131</v>
      </c>
      <c r="O190" s="50"/>
      <c r="P190" s="51"/>
      <c r="Q190" s="57" t="str">
        <f t="shared" ref="Q190:Q191" si="206">AE189</f>
        <v>□□□□</v>
      </c>
      <c r="R190" s="58"/>
      <c r="T190" s="2" t="s">
        <v>110</v>
      </c>
      <c r="U190" s="2" t="str">
        <f t="shared" ref="U190" si="207">INDEX(U184:AU184,,MATCH(V188,U183:AU183,0))</f>
        <v>チェインスピア</v>
      </c>
      <c r="W190" s="2" t="str">
        <f>IF(U190="-","-",INDEX(ロジックマスタ!$D$5:$D$56,MATCH(U190,ロジックマスタ!$B$5:$B$56,0),))</f>
        <v>C</v>
      </c>
      <c r="Y190" s="2" t="s">
        <v>132</v>
      </c>
      <c r="Z190" s="1">
        <f t="shared" ref="Z190" si="208">IF(OR(AC187="-",AC188="-"),0,(AC187+AC188)/17)</f>
        <v>0</v>
      </c>
      <c r="AA190" s="1">
        <f t="shared" ref="AA190" si="209">ROUNDDOWN(MIN(MAX(Z190,0),9),0)</f>
        <v>0</v>
      </c>
      <c r="AB190" s="2" t="str">
        <f t="shared" ref="AB190" si="210">IF(OR(AA190=0,W190="-"),"","＋"&amp;AA190)</f>
        <v/>
      </c>
      <c r="AE190" s="61" t="str">
        <f>IF(U190="-","",INDEX(ロジック形状!$C$5:$C$26,MATCH(AD189,ロジック形状!$B$5:$B$26,0)+1,))</f>
        <v>■□□□</v>
      </c>
    </row>
    <row r="191" spans="2:47" x14ac:dyDescent="0.15">
      <c r="B191" s="40"/>
      <c r="C191" s="40"/>
      <c r="D191" s="38" t="s">
        <v>133</v>
      </c>
      <c r="E191" s="42"/>
      <c r="F191" s="42"/>
      <c r="G191" s="131" t="str">
        <f t="shared" ref="G191" si="211">U190&amp;AB190</f>
        <v>チェインスピア</v>
      </c>
      <c r="H191" s="131"/>
      <c r="I191" s="131"/>
      <c r="J191" s="38" t="s">
        <v>127</v>
      </c>
      <c r="K191" s="42"/>
      <c r="L191" s="43" t="str">
        <f t="shared" ref="L191" si="212">W190</f>
        <v>C</v>
      </c>
      <c r="M191" s="52"/>
      <c r="N191" s="53"/>
      <c r="O191" s="54"/>
      <c r="P191" s="55"/>
      <c r="Q191" s="59" t="str">
        <f t="shared" si="206"/>
        <v>■□□□</v>
      </c>
      <c r="R191" s="60"/>
    </row>
    <row r="193" spans="2:47" x14ac:dyDescent="0.15">
      <c r="B193" s="35" t="s">
        <v>110</v>
      </c>
      <c r="C193" s="36"/>
      <c r="D193" s="36"/>
      <c r="E193" s="36"/>
      <c r="F193" s="36"/>
      <c r="G193" s="36"/>
      <c r="H193" s="36"/>
      <c r="I193" s="36"/>
      <c r="J193" s="36"/>
      <c r="K193" s="36"/>
      <c r="L193" s="36"/>
      <c r="M193" s="36"/>
      <c r="N193" s="36"/>
      <c r="O193" s="36"/>
      <c r="P193" s="36"/>
      <c r="Q193" s="36"/>
      <c r="R193" s="56"/>
      <c r="T193" s="2" t="s">
        <v>166</v>
      </c>
      <c r="U193" s="2" t="str">
        <f t="shared" ref="U193:AB213" si="213">INDEX($A$2:$A$28,COLUMN()-COLUMN($U193)+1,)</f>
        <v>短剣</v>
      </c>
      <c r="V193" s="2" t="str">
        <f t="shared" si="213"/>
        <v>片手剣</v>
      </c>
      <c r="W193" s="2" t="str">
        <f t="shared" si="213"/>
        <v>片手斧</v>
      </c>
      <c r="X193" s="2" t="str">
        <f t="shared" si="213"/>
        <v>両手剣</v>
      </c>
      <c r="Y193" s="2" t="str">
        <f t="shared" si="213"/>
        <v>両手斧</v>
      </c>
      <c r="Z193" s="2" t="str">
        <f t="shared" si="213"/>
        <v>ハンマー</v>
      </c>
      <c r="AA193" s="2" t="str">
        <f t="shared" si="213"/>
        <v>槍</v>
      </c>
      <c r="AB193" s="2" t="str">
        <f t="shared" si="213"/>
        <v>杖</v>
      </c>
      <c r="AC193" s="2" t="str">
        <f t="shared" ref="AC193:AJ193" si="214">INDEX($A$2:$A$28,COLUMN()-COLUMN($U193)+1,)</f>
        <v>ナックル</v>
      </c>
      <c r="AD193" s="2" t="str">
        <f t="shared" si="214"/>
        <v>ヌンチャク</v>
      </c>
      <c r="AE193" s="2" t="str">
        <f t="shared" si="214"/>
        <v>弓矢</v>
      </c>
      <c r="AF193" s="2" t="str">
        <f t="shared" si="214"/>
        <v>盾</v>
      </c>
      <c r="AG193" s="2" t="str">
        <f t="shared" si="214"/>
        <v>兜</v>
      </c>
      <c r="AH193" s="2" t="str">
        <f t="shared" si="214"/>
        <v>帽子</v>
      </c>
      <c r="AI193" s="2" t="str">
        <f t="shared" si="214"/>
        <v>鎧</v>
      </c>
      <c r="AJ193" s="2" t="str">
        <f t="shared" si="214"/>
        <v>全身鎧</v>
      </c>
      <c r="AK193" s="2" t="str">
        <f t="shared" ref="AK193:AU193" si="215">INDEX($A$2:$A$28,COLUMN()-COLUMN($U193)+1,)</f>
        <v>ローブ</v>
      </c>
      <c r="AL193" s="2" t="str">
        <f t="shared" si="215"/>
        <v>小手</v>
      </c>
      <c r="AM193" s="2" t="str">
        <f t="shared" si="215"/>
        <v>ブーツ</v>
      </c>
      <c r="AN193" s="2" t="str">
        <f t="shared" si="215"/>
        <v>サンダル</v>
      </c>
      <c r="AO193" s="2" t="str">
        <f t="shared" si="215"/>
        <v>マント</v>
      </c>
      <c r="AP193" s="2" t="str">
        <f t="shared" si="215"/>
        <v>リング</v>
      </c>
      <c r="AQ193" s="2" t="str">
        <f t="shared" si="215"/>
        <v>ペンダント</v>
      </c>
      <c r="AR193" s="2" t="str">
        <f t="shared" si="215"/>
        <v>ハープ</v>
      </c>
      <c r="AS193" s="2" t="str">
        <f t="shared" si="215"/>
        <v>マリンバ</v>
      </c>
      <c r="AT193" s="2" t="str">
        <f t="shared" si="215"/>
        <v>フルート</v>
      </c>
      <c r="AU193" s="2" t="str">
        <f t="shared" si="215"/>
        <v>ドラム</v>
      </c>
    </row>
    <row r="194" spans="2:47" x14ac:dyDescent="0.15">
      <c r="B194" s="37"/>
      <c r="C194" s="35" t="s">
        <v>112</v>
      </c>
      <c r="D194" s="36"/>
      <c r="E194" s="36"/>
      <c r="F194" s="36"/>
      <c r="G194" s="36"/>
      <c r="H194" s="36"/>
      <c r="I194" s="36"/>
      <c r="J194" s="36"/>
      <c r="K194" s="44"/>
      <c r="L194" s="44"/>
      <c r="M194" s="44"/>
      <c r="N194" s="44"/>
      <c r="O194" s="44"/>
      <c r="P194" s="36"/>
      <c r="Q194" s="36"/>
      <c r="R194" s="56"/>
      <c r="T194" s="2" t="s">
        <v>110</v>
      </c>
      <c r="U194" s="2" t="str">
        <f>INDEX(ロジックテーブル!$D$6:$AD$32,MATCH($U197,ロジックテーブル!$C$6:$C$32,0),MATCH(U193,ロジックテーブル!$D$5:$AD$5,0))</f>
        <v>チェインスピア</v>
      </c>
      <c r="V194" s="2" t="str">
        <f>INDEX(ロジックテーブル!$D$6:$AD$32,MATCH($U197,ロジックテーブル!$C$6:$C$32,0),MATCH(V193,ロジックテーブル!$D$5:$AD$5,0))</f>
        <v>チェーンギロチン</v>
      </c>
      <c r="W194" s="2" t="str">
        <f>INDEX(ロジックテーブル!$D$6:$AD$32,MATCH($U197,ロジックテーブル!$C$6:$C$32,0),MATCH(W193,ロジックテーブル!$D$5:$AD$5,0))</f>
        <v>チェーンギロチン</v>
      </c>
      <c r="X194" s="2" t="str">
        <f>INDEX(ロジックテーブル!$D$6:$AD$32,MATCH($U197,ロジックテーブル!$C$6:$C$32,0),MATCH(X193,ロジックテーブル!$D$5:$AD$5,0))</f>
        <v>-</v>
      </c>
      <c r="Y194" s="2" t="str">
        <f>INDEX(ロジックテーブル!$D$6:$AD$32,MATCH($U197,ロジックテーブル!$C$6:$C$32,0),MATCH(Y193,ロジックテーブル!$D$5:$AD$5,0))</f>
        <v>-</v>
      </c>
      <c r="Z194" s="2" t="str">
        <f>INDEX(ロジックテーブル!$D$6:$AD$32,MATCH($U197,ロジックテーブル!$C$6:$C$32,0),MATCH(Z193,ロジックテーブル!$D$5:$AD$5,0))</f>
        <v>-</v>
      </c>
      <c r="AA194" s="2" t="str">
        <f>INDEX(ロジックテーブル!$D$6:$AD$32,MATCH($U197,ロジックテーブル!$C$6:$C$32,0),MATCH(AA193,ロジックテーブル!$D$5:$AD$5,0))</f>
        <v>-</v>
      </c>
      <c r="AB194" s="2" t="str">
        <f>INDEX(ロジックテーブル!$D$6:$AD$32,MATCH($U197,ロジックテーブル!$C$6:$C$32,0),MATCH(AB193,ロジックテーブル!$D$5:$AD$5,0))</f>
        <v>-</v>
      </c>
      <c r="AC194" s="2" t="str">
        <f>INDEX(ロジックテーブル!$D$6:$AD$32,MATCH($U197,ロジックテーブル!$C$6:$C$32,0),MATCH(AC193,ロジックテーブル!$D$5:$AD$5,0))</f>
        <v>チェインドリル</v>
      </c>
      <c r="AD194" s="2" t="str">
        <f>INDEX(ロジックテーブル!$D$6:$AD$32,MATCH($U197,ロジックテーブル!$C$6:$C$32,0),MATCH(AD193,ロジックテーブル!$D$5:$AD$5,0))</f>
        <v>-</v>
      </c>
      <c r="AE194" s="2" t="str">
        <f>INDEX(ロジックテーブル!$D$6:$AD$32,MATCH($U197,ロジックテーブル!$C$6:$C$32,0),MATCH(AE193,ロジックテーブル!$D$5:$AD$5,0))</f>
        <v>-</v>
      </c>
      <c r="AF194" s="2" t="str">
        <f>INDEX(ロジックテーブル!$D$6:$AD$32,MATCH($U197,ロジックテーブル!$C$6:$C$32,0),MATCH(AF193,ロジックテーブル!$D$5:$AD$5,0))</f>
        <v>-</v>
      </c>
      <c r="AG194" s="2" t="str">
        <f>INDEX(ロジックテーブル!$D$6:$AD$32,MATCH($U197,ロジックテーブル!$C$6:$C$32,0),MATCH(AG193,ロジックテーブル!$D$5:$AD$5,0))</f>
        <v>-</v>
      </c>
      <c r="AH194" s="2" t="str">
        <f>INDEX(ロジックテーブル!$D$6:$AD$32,MATCH($U197,ロジックテーブル!$C$6:$C$32,0),MATCH(AH193,ロジックテーブル!$D$5:$AD$5,0))</f>
        <v>-</v>
      </c>
      <c r="AI194" s="2" t="str">
        <f>INDEX(ロジックテーブル!$D$6:$AD$32,MATCH($U197,ロジックテーブル!$C$6:$C$32,0),MATCH(AI193,ロジックテーブル!$D$5:$AD$5,0))</f>
        <v>-</v>
      </c>
      <c r="AJ194" s="2" t="str">
        <f>INDEX(ロジックテーブル!$D$6:$AD$32,MATCH($U197,ロジックテーブル!$C$6:$C$32,0),MATCH(AJ193,ロジックテーブル!$D$5:$AD$5,0))</f>
        <v>-</v>
      </c>
      <c r="AK194" s="2" t="str">
        <f>INDEX(ロジックテーブル!$D$6:$AD$32,MATCH($U197,ロジックテーブル!$C$6:$C$32,0),MATCH(AK193,ロジックテーブル!$D$5:$AD$5,0))</f>
        <v>-</v>
      </c>
      <c r="AL194" s="2" t="str">
        <f>INDEX(ロジックテーブル!$D$6:$AD$32,MATCH($U197,ロジックテーブル!$C$6:$C$32,0),MATCH(AL193,ロジックテーブル!$D$5:$AD$5,0))</f>
        <v>-</v>
      </c>
      <c r="AM194" s="2" t="str">
        <f>INDEX(ロジックテーブル!$D$6:$AD$32,MATCH($U197,ロジックテーブル!$C$6:$C$32,0),MATCH(AM193,ロジックテーブル!$D$5:$AD$5,0))</f>
        <v>-</v>
      </c>
      <c r="AN194" s="2" t="str">
        <f>INDEX(ロジックテーブル!$D$6:$AD$32,MATCH($U197,ロジックテーブル!$C$6:$C$32,0),MATCH(AN193,ロジックテーブル!$D$5:$AD$5,0))</f>
        <v>-</v>
      </c>
      <c r="AO194" s="2" t="str">
        <f>INDEX(ロジックテーブル!$D$6:$AD$32,MATCH($U197,ロジックテーブル!$C$6:$C$32,0),MATCH(AO193,ロジックテーブル!$D$5:$AD$5,0))</f>
        <v>-</v>
      </c>
      <c r="AP194" s="2" t="str">
        <f>INDEX(ロジックテーブル!$D$6:$AD$32,MATCH($U197,ロジックテーブル!$C$6:$C$32,0),MATCH(AP193,ロジックテーブル!$D$5:$AD$5,0))</f>
        <v>-</v>
      </c>
      <c r="AQ194" s="2" t="str">
        <f>INDEX(ロジックテーブル!$D$6:$AD$32,MATCH($U197,ロジックテーブル!$C$6:$C$32,0),MATCH(AQ193,ロジックテーブル!$D$5:$AD$5,0))</f>
        <v>-</v>
      </c>
      <c r="AR194" s="2" t="str">
        <f>INDEX(ロジックテーブル!$D$6:$AD$32,MATCH($U197,ロジックテーブル!$C$6:$C$32,0),MATCH(AR193,ロジックテーブル!$D$5:$AD$5,0))</f>
        <v>ドリルロケット</v>
      </c>
      <c r="AS194" s="2" t="str">
        <f>INDEX(ロジックテーブル!$D$6:$AD$32,MATCH($U197,ロジックテーブル!$C$6:$C$32,0),MATCH(AS193,ロジックテーブル!$D$5:$AD$5,0))</f>
        <v>-</v>
      </c>
      <c r="AT194" s="2" t="str">
        <f>INDEX(ロジックテーブル!$D$6:$AD$32,MATCH($U197,ロジックテーブル!$C$6:$C$32,0),MATCH(AT193,ロジックテーブル!$D$5:$AD$5,0))</f>
        <v>-</v>
      </c>
      <c r="AU194" s="2" t="str">
        <f>INDEX(ロジックテーブル!$D$6:$AD$32,MATCH($U197,ロジックテーブル!$C$6:$C$32,0),MATCH(AU193,ロジックテーブル!$D$5:$AD$5,0))</f>
        <v>-</v>
      </c>
    </row>
    <row r="195" spans="2:47" x14ac:dyDescent="0.15">
      <c r="B195" s="37"/>
      <c r="C195" s="37"/>
      <c r="D195" s="38" t="s">
        <v>113</v>
      </c>
      <c r="E195" s="129" t="s">
        <v>158</v>
      </c>
      <c r="F195" s="129"/>
      <c r="G195" s="129"/>
      <c r="H195" s="38" t="s">
        <v>115</v>
      </c>
      <c r="I195" s="45"/>
      <c r="J195" s="129" t="s">
        <v>148</v>
      </c>
      <c r="K195" s="129"/>
      <c r="L195" s="129"/>
      <c r="M195" s="42"/>
      <c r="N195" s="42"/>
      <c r="O195" s="42"/>
      <c r="P195" s="42"/>
      <c r="Q195" s="42"/>
      <c r="R195" s="45"/>
      <c r="T195" s="2" t="s">
        <v>169</v>
      </c>
      <c r="U195" s="2" t="str">
        <f t="shared" ref="U195:AB195" si="216">U193&amp;"_"&amp;IF(U194="-","(無効)","(有効)")</f>
        <v>短剣_(有効)</v>
      </c>
      <c r="V195" s="2" t="str">
        <f t="shared" si="216"/>
        <v>片手剣_(有効)</v>
      </c>
      <c r="W195" s="2" t="str">
        <f t="shared" si="216"/>
        <v>片手斧_(有効)</v>
      </c>
      <c r="X195" s="2" t="str">
        <f t="shared" si="216"/>
        <v>両手剣_(無効)</v>
      </c>
      <c r="Y195" s="2" t="str">
        <f t="shared" si="216"/>
        <v>両手斧_(無効)</v>
      </c>
      <c r="Z195" s="2" t="str">
        <f t="shared" si="216"/>
        <v>ハンマー_(無効)</v>
      </c>
      <c r="AA195" s="2" t="str">
        <f t="shared" si="216"/>
        <v>槍_(無効)</v>
      </c>
      <c r="AB195" s="2" t="str">
        <f t="shared" si="216"/>
        <v>杖_(無効)</v>
      </c>
      <c r="AC195" s="2" t="str">
        <f t="shared" ref="AC195:AU195" si="217">AC193&amp;"_"&amp;IF(AC194="-","(無効)","(有効)")</f>
        <v>ナックル_(有効)</v>
      </c>
      <c r="AD195" s="2" t="str">
        <f t="shared" si="217"/>
        <v>ヌンチャク_(無効)</v>
      </c>
      <c r="AE195" s="2" t="str">
        <f t="shared" si="217"/>
        <v>弓矢_(無効)</v>
      </c>
      <c r="AF195" s="2" t="str">
        <f t="shared" si="217"/>
        <v>盾_(無効)</v>
      </c>
      <c r="AG195" s="2" t="str">
        <f t="shared" si="217"/>
        <v>兜_(無効)</v>
      </c>
      <c r="AH195" s="2" t="str">
        <f t="shared" si="217"/>
        <v>帽子_(無効)</v>
      </c>
      <c r="AI195" s="2" t="str">
        <f t="shared" si="217"/>
        <v>鎧_(無効)</v>
      </c>
      <c r="AJ195" s="2" t="str">
        <f t="shared" si="217"/>
        <v>全身鎧_(無効)</v>
      </c>
      <c r="AK195" s="2" t="str">
        <f t="shared" si="217"/>
        <v>ローブ_(無効)</v>
      </c>
      <c r="AL195" s="2" t="str">
        <f t="shared" si="217"/>
        <v>小手_(無効)</v>
      </c>
      <c r="AM195" s="2" t="str">
        <f t="shared" si="217"/>
        <v>ブーツ_(無効)</v>
      </c>
      <c r="AN195" s="2" t="str">
        <f t="shared" si="217"/>
        <v>サンダル_(無効)</v>
      </c>
      <c r="AO195" s="2" t="str">
        <f t="shared" si="217"/>
        <v>マント_(無効)</v>
      </c>
      <c r="AP195" s="2" t="str">
        <f t="shared" si="217"/>
        <v>リング_(無効)</v>
      </c>
      <c r="AQ195" s="2" t="str">
        <f t="shared" si="217"/>
        <v>ペンダント_(無効)</v>
      </c>
      <c r="AR195" s="2" t="str">
        <f t="shared" si="217"/>
        <v>ハープ_(有効)</v>
      </c>
      <c r="AS195" s="2" t="str">
        <f t="shared" si="217"/>
        <v>マリンバ_(無効)</v>
      </c>
      <c r="AT195" s="2" t="str">
        <f t="shared" si="217"/>
        <v>フルート_(無効)</v>
      </c>
      <c r="AU195" s="2" t="str">
        <f t="shared" si="217"/>
        <v>ドラム_(無効)</v>
      </c>
    </row>
    <row r="196" spans="2:47" x14ac:dyDescent="0.15">
      <c r="B196" s="37"/>
      <c r="C196" s="40"/>
      <c r="D196" s="130" t="s">
        <v>72</v>
      </c>
      <c r="E196" s="129"/>
      <c r="F196" s="129"/>
      <c r="G196" s="129"/>
      <c r="H196" s="38" t="str">
        <f t="shared" ref="H196" si="218">IF(ISERROR(MATCH(U197,$AF193:$AQ193,0)),"攻撃力","防御力合計")</f>
        <v>攻撃力</v>
      </c>
      <c r="I196" s="45"/>
      <c r="J196" s="46"/>
      <c r="K196" s="47" t="str">
        <f t="shared" ref="K196" si="219">IF(H196="防御力合計","叩防","")</f>
        <v/>
      </c>
      <c r="L196" s="48"/>
      <c r="M196" s="47" t="str">
        <f t="shared" ref="M196" si="220">IF(H196="防御力合計","斬防","")</f>
        <v/>
      </c>
      <c r="N196" s="48"/>
      <c r="O196" s="47" t="str">
        <f t="shared" ref="O196" si="221">IF(H196="防御力合計","突防","")</f>
        <v/>
      </c>
      <c r="P196" s="48"/>
      <c r="Q196" s="47" t="str">
        <f t="shared" ref="Q196" si="222">IF(H196="防御力合計","魔防","")</f>
        <v/>
      </c>
      <c r="R196" s="46"/>
      <c r="U196" s="2" t="s">
        <v>113</v>
      </c>
      <c r="W196" s="2" t="s">
        <v>115</v>
      </c>
      <c r="Z196" s="2" t="s">
        <v>118</v>
      </c>
      <c r="AA196" s="2" t="s">
        <v>119</v>
      </c>
      <c r="AC196" s="2" t="s">
        <v>120</v>
      </c>
      <c r="AD196" s="2" t="s">
        <v>121</v>
      </c>
    </row>
    <row r="197" spans="2:47" x14ac:dyDescent="0.15">
      <c r="B197" s="37"/>
      <c r="C197" s="35" t="s">
        <v>122</v>
      </c>
      <c r="D197" s="36"/>
      <c r="E197" s="36"/>
      <c r="F197" s="36"/>
      <c r="G197" s="36"/>
      <c r="H197" s="36"/>
      <c r="I197" s="36"/>
      <c r="J197" s="36"/>
      <c r="K197" s="36"/>
      <c r="L197" s="36"/>
      <c r="M197" s="44"/>
      <c r="N197" s="44"/>
      <c r="O197" s="44"/>
      <c r="P197" s="36"/>
      <c r="Q197" s="36"/>
      <c r="R197" s="56"/>
      <c r="T197" s="2" t="s">
        <v>170</v>
      </c>
      <c r="U197" s="2" t="str">
        <f t="shared" ref="U197" si="223">E195</f>
        <v>短剣</v>
      </c>
      <c r="W197" s="2" t="str">
        <f t="shared" ref="W197" si="224">J195</f>
        <v>メノス銅</v>
      </c>
      <c r="Y197" s="2" t="str">
        <f t="shared" ref="Y197" si="225">H196</f>
        <v>攻撃力</v>
      </c>
      <c r="Z197" s="2" t="str">
        <f t="shared" ref="Z197" si="226">IF(ISBLANK(J196),"-",J196)</f>
        <v>-</v>
      </c>
      <c r="AA197" s="2" t="str">
        <f t="shared" ref="AA197" si="227">IF(OR(ISBLANK(L196),ISBLANK(N196),ISBLANK(P196),ISBLANK(R196)),"-",SUM(K196:R196))</f>
        <v>-</v>
      </c>
      <c r="AB197" s="2" t="str">
        <f t="shared" ref="AB197" si="228">D196</f>
        <v>防御力合計で計算</v>
      </c>
      <c r="AC197" s="2" t="str">
        <f t="shared" ref="AC197:AC198" si="229">IF(OR(Y197="攻撃力",AB197="防御力合計で計算"),Z197,AA197)</f>
        <v>-</v>
      </c>
      <c r="AD197" s="1">
        <f>INDEX(主原料マスタ!$D$5:$D$59,MATCH(W197,主原料マスタ!$B$5:$B$59,0))</f>
        <v>0</v>
      </c>
    </row>
    <row r="198" spans="2:47" x14ac:dyDescent="0.15">
      <c r="B198" s="37"/>
      <c r="C198" s="37"/>
      <c r="D198" s="41" t="s">
        <v>113</v>
      </c>
      <c r="E198" s="129" t="s">
        <v>161</v>
      </c>
      <c r="F198" s="129"/>
      <c r="G198" s="129"/>
      <c r="H198" s="38" t="s">
        <v>115</v>
      </c>
      <c r="I198" s="45"/>
      <c r="J198" s="129" t="s">
        <v>148</v>
      </c>
      <c r="K198" s="129"/>
      <c r="L198" s="129"/>
      <c r="M198" s="42"/>
      <c r="N198" s="42"/>
      <c r="O198" s="42"/>
      <c r="P198" s="42"/>
      <c r="Q198" s="42"/>
      <c r="R198" s="45"/>
      <c r="T198" s="2" t="s">
        <v>171</v>
      </c>
      <c r="U198" s="2" t="str">
        <f t="shared" ref="U198" si="230">E198</f>
        <v>短剣_(有効)</v>
      </c>
      <c r="V198" s="2" t="str">
        <f t="shared" ref="V198" si="231">LEFT(U198,FIND("_",U198)-1)</f>
        <v>短剣</v>
      </c>
      <c r="W198" s="2" t="str">
        <f t="shared" ref="W198" si="232">J198</f>
        <v>メノス銅</v>
      </c>
      <c r="Y198" s="2" t="str">
        <f t="shared" ref="Y198" si="233">H199</f>
        <v>攻撃力</v>
      </c>
      <c r="Z198" s="2" t="str">
        <f t="shared" ref="Z198" si="234">IF(ISBLANK(J199),"-",J199)</f>
        <v>-</v>
      </c>
      <c r="AA198" s="2" t="str">
        <f t="shared" ref="AA198" si="235">IF(OR(ISBLANK(L199),ISBLANK(N199),ISBLANK(P199),ISBLANK(R199)),"-",SUM(K199:R199))</f>
        <v>-</v>
      </c>
      <c r="AB198" s="2" t="str">
        <f t="shared" ref="AB198" si="236">D199</f>
        <v>防御力合計で計算</v>
      </c>
      <c r="AC198" s="2" t="str">
        <f t="shared" si="229"/>
        <v>-</v>
      </c>
      <c r="AD198" s="1">
        <f>INDEX(主原料マスタ!$D$5:$D$59,MATCH(W198,主原料マスタ!$B$5:$B$59,0))</f>
        <v>0</v>
      </c>
    </row>
    <row r="199" spans="2:47" x14ac:dyDescent="0.15">
      <c r="B199" s="37"/>
      <c r="C199" s="40"/>
      <c r="D199" s="130" t="s">
        <v>72</v>
      </c>
      <c r="E199" s="129"/>
      <c r="F199" s="129"/>
      <c r="G199" s="129"/>
      <c r="H199" s="38" t="str">
        <f t="shared" ref="H199" si="237">IF(ISERROR(MATCH(V198,$AF193:$AQ193,0)),"攻撃力","防御力合計")</f>
        <v>攻撃力</v>
      </c>
      <c r="I199" s="45"/>
      <c r="J199" s="46"/>
      <c r="K199" s="47" t="str">
        <f t="shared" ref="K199" si="238">IF(H199="防御力合計","叩防","")</f>
        <v/>
      </c>
      <c r="L199" s="48"/>
      <c r="M199" s="47" t="str">
        <f t="shared" ref="M199" si="239">IF(H199="防御力合計","斬防","")</f>
        <v/>
      </c>
      <c r="N199" s="48"/>
      <c r="O199" s="47" t="str">
        <f t="shared" ref="O199" si="240">IF(H199="防御力合計","突防","")</f>
        <v/>
      </c>
      <c r="P199" s="48"/>
      <c r="Q199" s="47" t="str">
        <f t="shared" ref="Q199" si="241">IF(H199="防御力合計","魔防","")</f>
        <v/>
      </c>
      <c r="R199" s="46"/>
      <c r="W199" s="2" t="s">
        <v>127</v>
      </c>
      <c r="Z199" s="2" t="s">
        <v>128</v>
      </c>
      <c r="AA199" s="2" t="s">
        <v>102</v>
      </c>
      <c r="AB199" s="2" t="s">
        <v>129</v>
      </c>
      <c r="AD199" s="1">
        <f t="shared" ref="AD199" si="242">MOD(AD197+AD198,11)</f>
        <v>0</v>
      </c>
      <c r="AE199" s="61" t="str">
        <f>IF(U200="-","",INDEX(ロジック形状!$C$5:$C$26,MATCH(AD199,ロジック形状!$B$5:$B$26,0),))</f>
        <v>□□□□</v>
      </c>
    </row>
    <row r="200" spans="2:47" x14ac:dyDescent="0.15">
      <c r="B200" s="37"/>
      <c r="C200" s="35" t="s">
        <v>130</v>
      </c>
      <c r="D200" s="36"/>
      <c r="E200" s="36"/>
      <c r="F200" s="36"/>
      <c r="G200" s="36"/>
      <c r="H200" s="36"/>
      <c r="I200" s="36"/>
      <c r="J200" s="36"/>
      <c r="K200" s="36"/>
      <c r="L200" s="36"/>
      <c r="M200" s="36"/>
      <c r="N200" s="49" t="s">
        <v>131</v>
      </c>
      <c r="O200" s="50"/>
      <c r="P200" s="51"/>
      <c r="Q200" s="57" t="str">
        <f t="shared" ref="Q200:Q201" si="243">AE199</f>
        <v>□□□□</v>
      </c>
      <c r="R200" s="58"/>
      <c r="T200" s="2" t="s">
        <v>110</v>
      </c>
      <c r="U200" s="2" t="str">
        <f t="shared" ref="U200" si="244">INDEX(U194:AU194,,MATCH(V198,U193:AU193,0))</f>
        <v>チェインスピア</v>
      </c>
      <c r="W200" s="2" t="str">
        <f>IF(U200="-","-",INDEX(ロジックマスタ!$D$5:$D$56,MATCH(U200,ロジックマスタ!$B$5:$B$56,0),))</f>
        <v>C</v>
      </c>
      <c r="Y200" s="2" t="s">
        <v>132</v>
      </c>
      <c r="Z200" s="1">
        <f t="shared" ref="Z200" si="245">IF(OR(AC197="-",AC198="-"),0,(AC197+AC198)/17)</f>
        <v>0</v>
      </c>
      <c r="AA200" s="1">
        <f t="shared" ref="AA200" si="246">ROUNDDOWN(MIN(MAX(Z200,0),9),0)</f>
        <v>0</v>
      </c>
      <c r="AB200" s="2" t="str">
        <f t="shared" ref="AB200" si="247">IF(OR(AA200=0,W200="-"),"","＋"&amp;AA200)</f>
        <v/>
      </c>
      <c r="AE200" s="61" t="str">
        <f>IF(U200="-","",INDEX(ロジック形状!$C$5:$C$26,MATCH(AD199,ロジック形状!$B$5:$B$26,0)+1,))</f>
        <v>■□□□</v>
      </c>
    </row>
    <row r="201" spans="2:47" x14ac:dyDescent="0.15">
      <c r="B201" s="40"/>
      <c r="C201" s="40"/>
      <c r="D201" s="38" t="s">
        <v>133</v>
      </c>
      <c r="E201" s="42"/>
      <c r="F201" s="42"/>
      <c r="G201" s="131" t="str">
        <f t="shared" ref="G201" si="248">U200&amp;AB200</f>
        <v>チェインスピア</v>
      </c>
      <c r="H201" s="131"/>
      <c r="I201" s="131"/>
      <c r="J201" s="38" t="s">
        <v>127</v>
      </c>
      <c r="K201" s="42"/>
      <c r="L201" s="43" t="str">
        <f t="shared" ref="L201" si="249">W200</f>
        <v>C</v>
      </c>
      <c r="M201" s="52"/>
      <c r="N201" s="53"/>
      <c r="O201" s="54"/>
      <c r="P201" s="55"/>
      <c r="Q201" s="59" t="str">
        <f t="shared" si="243"/>
        <v>■□□□</v>
      </c>
      <c r="R201" s="60"/>
    </row>
    <row r="203" spans="2:47" x14ac:dyDescent="0.15">
      <c r="B203" s="35" t="s">
        <v>110</v>
      </c>
      <c r="C203" s="36"/>
      <c r="D203" s="36"/>
      <c r="E203" s="36"/>
      <c r="F203" s="36"/>
      <c r="G203" s="36"/>
      <c r="H203" s="36"/>
      <c r="I203" s="36"/>
      <c r="J203" s="36"/>
      <c r="K203" s="36"/>
      <c r="L203" s="36"/>
      <c r="M203" s="36"/>
      <c r="N203" s="36"/>
      <c r="O203" s="36"/>
      <c r="P203" s="36"/>
      <c r="Q203" s="36"/>
      <c r="R203" s="56"/>
      <c r="T203" s="2" t="s">
        <v>169</v>
      </c>
      <c r="U203" s="2" t="str">
        <f t="shared" si="213"/>
        <v>短剣</v>
      </c>
      <c r="V203" s="2" t="str">
        <f t="shared" si="213"/>
        <v>片手剣</v>
      </c>
      <c r="W203" s="2" t="str">
        <f t="shared" si="213"/>
        <v>片手斧</v>
      </c>
      <c r="X203" s="2" t="str">
        <f t="shared" si="213"/>
        <v>両手剣</v>
      </c>
      <c r="Y203" s="2" t="str">
        <f t="shared" si="213"/>
        <v>両手斧</v>
      </c>
      <c r="Z203" s="2" t="str">
        <f t="shared" si="213"/>
        <v>ハンマー</v>
      </c>
      <c r="AA203" s="2" t="str">
        <f t="shared" si="213"/>
        <v>槍</v>
      </c>
      <c r="AB203" s="2" t="str">
        <f t="shared" si="213"/>
        <v>杖</v>
      </c>
      <c r="AC203" s="2" t="str">
        <f t="shared" ref="AC203:AJ203" si="250">INDEX($A$2:$A$28,COLUMN()-COLUMN($U203)+1,)</f>
        <v>ナックル</v>
      </c>
      <c r="AD203" s="2" t="str">
        <f t="shared" si="250"/>
        <v>ヌンチャク</v>
      </c>
      <c r="AE203" s="2" t="str">
        <f t="shared" si="250"/>
        <v>弓矢</v>
      </c>
      <c r="AF203" s="2" t="str">
        <f t="shared" si="250"/>
        <v>盾</v>
      </c>
      <c r="AG203" s="2" t="str">
        <f t="shared" si="250"/>
        <v>兜</v>
      </c>
      <c r="AH203" s="2" t="str">
        <f t="shared" si="250"/>
        <v>帽子</v>
      </c>
      <c r="AI203" s="2" t="str">
        <f t="shared" si="250"/>
        <v>鎧</v>
      </c>
      <c r="AJ203" s="2" t="str">
        <f t="shared" si="250"/>
        <v>全身鎧</v>
      </c>
      <c r="AK203" s="2" t="str">
        <f t="shared" ref="AK203:AU203" si="251">INDEX($A$2:$A$28,COLUMN()-COLUMN($U203)+1,)</f>
        <v>ローブ</v>
      </c>
      <c r="AL203" s="2" t="str">
        <f t="shared" si="251"/>
        <v>小手</v>
      </c>
      <c r="AM203" s="2" t="str">
        <f t="shared" si="251"/>
        <v>ブーツ</v>
      </c>
      <c r="AN203" s="2" t="str">
        <f t="shared" si="251"/>
        <v>サンダル</v>
      </c>
      <c r="AO203" s="2" t="str">
        <f t="shared" si="251"/>
        <v>マント</v>
      </c>
      <c r="AP203" s="2" t="str">
        <f t="shared" si="251"/>
        <v>リング</v>
      </c>
      <c r="AQ203" s="2" t="str">
        <f t="shared" si="251"/>
        <v>ペンダント</v>
      </c>
      <c r="AR203" s="2" t="str">
        <f t="shared" si="251"/>
        <v>ハープ</v>
      </c>
      <c r="AS203" s="2" t="str">
        <f t="shared" si="251"/>
        <v>マリンバ</v>
      </c>
      <c r="AT203" s="2" t="str">
        <f t="shared" si="251"/>
        <v>フルート</v>
      </c>
      <c r="AU203" s="2" t="str">
        <f t="shared" si="251"/>
        <v>ドラム</v>
      </c>
    </row>
    <row r="204" spans="2:47" x14ac:dyDescent="0.15">
      <c r="B204" s="37"/>
      <c r="C204" s="35" t="s">
        <v>112</v>
      </c>
      <c r="D204" s="36"/>
      <c r="E204" s="36"/>
      <c r="F204" s="36"/>
      <c r="G204" s="36"/>
      <c r="H204" s="36"/>
      <c r="I204" s="36"/>
      <c r="J204" s="36"/>
      <c r="K204" s="44"/>
      <c r="L204" s="44"/>
      <c r="M204" s="44"/>
      <c r="N204" s="44"/>
      <c r="O204" s="44"/>
      <c r="P204" s="36"/>
      <c r="Q204" s="36"/>
      <c r="R204" s="56"/>
      <c r="T204" s="2" t="s">
        <v>110</v>
      </c>
      <c r="U204" s="2" t="str">
        <f>INDEX(ロジックテーブル!$D$6:$AD$32,MATCH($U207,ロジックテーブル!$C$6:$C$32,0),MATCH(U203,ロジックテーブル!$D$5:$AD$5,0))</f>
        <v>チェインスピア</v>
      </c>
      <c r="V204" s="2" t="str">
        <f>INDEX(ロジックテーブル!$D$6:$AD$32,MATCH($U207,ロジックテーブル!$C$6:$C$32,0),MATCH(V203,ロジックテーブル!$D$5:$AD$5,0))</f>
        <v>チェーンギロチン</v>
      </c>
      <c r="W204" s="2" t="str">
        <f>INDEX(ロジックテーブル!$D$6:$AD$32,MATCH($U207,ロジックテーブル!$C$6:$C$32,0),MATCH(W203,ロジックテーブル!$D$5:$AD$5,0))</f>
        <v>チェーンギロチン</v>
      </c>
      <c r="X204" s="2" t="str">
        <f>INDEX(ロジックテーブル!$D$6:$AD$32,MATCH($U207,ロジックテーブル!$C$6:$C$32,0),MATCH(X203,ロジックテーブル!$D$5:$AD$5,0))</f>
        <v>-</v>
      </c>
      <c r="Y204" s="2" t="str">
        <f>INDEX(ロジックテーブル!$D$6:$AD$32,MATCH($U207,ロジックテーブル!$C$6:$C$32,0),MATCH(Y203,ロジックテーブル!$D$5:$AD$5,0))</f>
        <v>-</v>
      </c>
      <c r="Z204" s="2" t="str">
        <f>INDEX(ロジックテーブル!$D$6:$AD$32,MATCH($U207,ロジックテーブル!$C$6:$C$32,0),MATCH(Z203,ロジックテーブル!$D$5:$AD$5,0))</f>
        <v>-</v>
      </c>
      <c r="AA204" s="2" t="str">
        <f>INDEX(ロジックテーブル!$D$6:$AD$32,MATCH($U207,ロジックテーブル!$C$6:$C$32,0),MATCH(AA203,ロジックテーブル!$D$5:$AD$5,0))</f>
        <v>-</v>
      </c>
      <c r="AB204" s="2" t="str">
        <f>INDEX(ロジックテーブル!$D$6:$AD$32,MATCH($U207,ロジックテーブル!$C$6:$C$32,0),MATCH(AB203,ロジックテーブル!$D$5:$AD$5,0))</f>
        <v>-</v>
      </c>
      <c r="AC204" s="2" t="str">
        <f>INDEX(ロジックテーブル!$D$6:$AD$32,MATCH($U207,ロジックテーブル!$C$6:$C$32,0),MATCH(AC203,ロジックテーブル!$D$5:$AD$5,0))</f>
        <v>チェインドリル</v>
      </c>
      <c r="AD204" s="2" t="str">
        <f>INDEX(ロジックテーブル!$D$6:$AD$32,MATCH($U207,ロジックテーブル!$C$6:$C$32,0),MATCH(AD203,ロジックテーブル!$D$5:$AD$5,0))</f>
        <v>-</v>
      </c>
      <c r="AE204" s="2" t="str">
        <f>INDEX(ロジックテーブル!$D$6:$AD$32,MATCH($U207,ロジックテーブル!$C$6:$C$32,0),MATCH(AE203,ロジックテーブル!$D$5:$AD$5,0))</f>
        <v>-</v>
      </c>
      <c r="AF204" s="2" t="str">
        <f>INDEX(ロジックテーブル!$D$6:$AD$32,MATCH($U207,ロジックテーブル!$C$6:$C$32,0),MATCH(AF203,ロジックテーブル!$D$5:$AD$5,0))</f>
        <v>-</v>
      </c>
      <c r="AG204" s="2" t="str">
        <f>INDEX(ロジックテーブル!$D$6:$AD$32,MATCH($U207,ロジックテーブル!$C$6:$C$32,0),MATCH(AG203,ロジックテーブル!$D$5:$AD$5,0))</f>
        <v>-</v>
      </c>
      <c r="AH204" s="2" t="str">
        <f>INDEX(ロジックテーブル!$D$6:$AD$32,MATCH($U207,ロジックテーブル!$C$6:$C$32,0),MATCH(AH203,ロジックテーブル!$D$5:$AD$5,0))</f>
        <v>-</v>
      </c>
      <c r="AI204" s="2" t="str">
        <f>INDEX(ロジックテーブル!$D$6:$AD$32,MATCH($U207,ロジックテーブル!$C$6:$C$32,0),MATCH(AI203,ロジックテーブル!$D$5:$AD$5,0))</f>
        <v>-</v>
      </c>
      <c r="AJ204" s="2" t="str">
        <f>INDEX(ロジックテーブル!$D$6:$AD$32,MATCH($U207,ロジックテーブル!$C$6:$C$32,0),MATCH(AJ203,ロジックテーブル!$D$5:$AD$5,0))</f>
        <v>-</v>
      </c>
      <c r="AK204" s="2" t="str">
        <f>INDEX(ロジックテーブル!$D$6:$AD$32,MATCH($U207,ロジックテーブル!$C$6:$C$32,0),MATCH(AK203,ロジックテーブル!$D$5:$AD$5,0))</f>
        <v>-</v>
      </c>
      <c r="AL204" s="2" t="str">
        <f>INDEX(ロジックテーブル!$D$6:$AD$32,MATCH($U207,ロジックテーブル!$C$6:$C$32,0),MATCH(AL203,ロジックテーブル!$D$5:$AD$5,0))</f>
        <v>-</v>
      </c>
      <c r="AM204" s="2" t="str">
        <f>INDEX(ロジックテーブル!$D$6:$AD$32,MATCH($U207,ロジックテーブル!$C$6:$C$32,0),MATCH(AM203,ロジックテーブル!$D$5:$AD$5,0))</f>
        <v>-</v>
      </c>
      <c r="AN204" s="2" t="str">
        <f>INDEX(ロジックテーブル!$D$6:$AD$32,MATCH($U207,ロジックテーブル!$C$6:$C$32,0),MATCH(AN203,ロジックテーブル!$D$5:$AD$5,0))</f>
        <v>-</v>
      </c>
      <c r="AO204" s="2" t="str">
        <f>INDEX(ロジックテーブル!$D$6:$AD$32,MATCH($U207,ロジックテーブル!$C$6:$C$32,0),MATCH(AO203,ロジックテーブル!$D$5:$AD$5,0))</f>
        <v>-</v>
      </c>
      <c r="AP204" s="2" t="str">
        <f>INDEX(ロジックテーブル!$D$6:$AD$32,MATCH($U207,ロジックテーブル!$C$6:$C$32,0),MATCH(AP203,ロジックテーブル!$D$5:$AD$5,0))</f>
        <v>-</v>
      </c>
      <c r="AQ204" s="2" t="str">
        <f>INDEX(ロジックテーブル!$D$6:$AD$32,MATCH($U207,ロジックテーブル!$C$6:$C$32,0),MATCH(AQ203,ロジックテーブル!$D$5:$AD$5,0))</f>
        <v>-</v>
      </c>
      <c r="AR204" s="2" t="str">
        <f>INDEX(ロジックテーブル!$D$6:$AD$32,MATCH($U207,ロジックテーブル!$C$6:$C$32,0),MATCH(AR203,ロジックテーブル!$D$5:$AD$5,0))</f>
        <v>ドリルロケット</v>
      </c>
      <c r="AS204" s="2" t="str">
        <f>INDEX(ロジックテーブル!$D$6:$AD$32,MATCH($U207,ロジックテーブル!$C$6:$C$32,0),MATCH(AS203,ロジックテーブル!$D$5:$AD$5,0))</f>
        <v>-</v>
      </c>
      <c r="AT204" s="2" t="str">
        <f>INDEX(ロジックテーブル!$D$6:$AD$32,MATCH($U207,ロジックテーブル!$C$6:$C$32,0),MATCH(AT203,ロジックテーブル!$D$5:$AD$5,0))</f>
        <v>-</v>
      </c>
      <c r="AU204" s="2" t="str">
        <f>INDEX(ロジックテーブル!$D$6:$AD$32,MATCH($U207,ロジックテーブル!$C$6:$C$32,0),MATCH(AU203,ロジックテーブル!$D$5:$AD$5,0))</f>
        <v>-</v>
      </c>
    </row>
    <row r="205" spans="2:47" x14ac:dyDescent="0.15">
      <c r="B205" s="37"/>
      <c r="C205" s="37"/>
      <c r="D205" s="38" t="s">
        <v>113</v>
      </c>
      <c r="E205" s="129" t="s">
        <v>158</v>
      </c>
      <c r="F205" s="129"/>
      <c r="G205" s="129"/>
      <c r="H205" s="38" t="s">
        <v>115</v>
      </c>
      <c r="I205" s="45"/>
      <c r="J205" s="129" t="s">
        <v>148</v>
      </c>
      <c r="K205" s="129"/>
      <c r="L205" s="129"/>
      <c r="M205" s="42"/>
      <c r="N205" s="42"/>
      <c r="O205" s="42"/>
      <c r="P205" s="42"/>
      <c r="Q205" s="42"/>
      <c r="R205" s="45"/>
      <c r="T205" s="2" t="s">
        <v>172</v>
      </c>
      <c r="U205" s="2" t="str">
        <f t="shared" ref="U205:AB205" si="252">U203&amp;"_"&amp;IF(U204="-","(無効)","(有効)")</f>
        <v>短剣_(有効)</v>
      </c>
      <c r="V205" s="2" t="str">
        <f t="shared" si="252"/>
        <v>片手剣_(有効)</v>
      </c>
      <c r="W205" s="2" t="str">
        <f t="shared" si="252"/>
        <v>片手斧_(有効)</v>
      </c>
      <c r="X205" s="2" t="str">
        <f t="shared" si="252"/>
        <v>両手剣_(無効)</v>
      </c>
      <c r="Y205" s="2" t="str">
        <f t="shared" si="252"/>
        <v>両手斧_(無効)</v>
      </c>
      <c r="Z205" s="2" t="str">
        <f t="shared" si="252"/>
        <v>ハンマー_(無効)</v>
      </c>
      <c r="AA205" s="2" t="str">
        <f t="shared" si="252"/>
        <v>槍_(無効)</v>
      </c>
      <c r="AB205" s="2" t="str">
        <f t="shared" si="252"/>
        <v>杖_(無効)</v>
      </c>
      <c r="AC205" s="2" t="str">
        <f t="shared" ref="AC205:AU205" si="253">AC203&amp;"_"&amp;IF(AC204="-","(無効)","(有効)")</f>
        <v>ナックル_(有効)</v>
      </c>
      <c r="AD205" s="2" t="str">
        <f t="shared" si="253"/>
        <v>ヌンチャク_(無効)</v>
      </c>
      <c r="AE205" s="2" t="str">
        <f t="shared" si="253"/>
        <v>弓矢_(無効)</v>
      </c>
      <c r="AF205" s="2" t="str">
        <f t="shared" si="253"/>
        <v>盾_(無効)</v>
      </c>
      <c r="AG205" s="2" t="str">
        <f t="shared" si="253"/>
        <v>兜_(無効)</v>
      </c>
      <c r="AH205" s="2" t="str">
        <f t="shared" si="253"/>
        <v>帽子_(無効)</v>
      </c>
      <c r="AI205" s="2" t="str">
        <f t="shared" si="253"/>
        <v>鎧_(無効)</v>
      </c>
      <c r="AJ205" s="2" t="str">
        <f t="shared" si="253"/>
        <v>全身鎧_(無効)</v>
      </c>
      <c r="AK205" s="2" t="str">
        <f t="shared" si="253"/>
        <v>ローブ_(無効)</v>
      </c>
      <c r="AL205" s="2" t="str">
        <f t="shared" si="253"/>
        <v>小手_(無効)</v>
      </c>
      <c r="AM205" s="2" t="str">
        <f t="shared" si="253"/>
        <v>ブーツ_(無効)</v>
      </c>
      <c r="AN205" s="2" t="str">
        <f t="shared" si="253"/>
        <v>サンダル_(無効)</v>
      </c>
      <c r="AO205" s="2" t="str">
        <f t="shared" si="253"/>
        <v>マント_(無効)</v>
      </c>
      <c r="AP205" s="2" t="str">
        <f t="shared" si="253"/>
        <v>リング_(無効)</v>
      </c>
      <c r="AQ205" s="2" t="str">
        <f t="shared" si="253"/>
        <v>ペンダント_(無効)</v>
      </c>
      <c r="AR205" s="2" t="str">
        <f t="shared" si="253"/>
        <v>ハープ_(有効)</v>
      </c>
      <c r="AS205" s="2" t="str">
        <f t="shared" si="253"/>
        <v>マリンバ_(無効)</v>
      </c>
      <c r="AT205" s="2" t="str">
        <f t="shared" si="253"/>
        <v>フルート_(無効)</v>
      </c>
      <c r="AU205" s="2" t="str">
        <f t="shared" si="253"/>
        <v>ドラム_(無効)</v>
      </c>
    </row>
    <row r="206" spans="2:47" x14ac:dyDescent="0.15">
      <c r="B206" s="37"/>
      <c r="C206" s="40"/>
      <c r="D206" s="130" t="s">
        <v>72</v>
      </c>
      <c r="E206" s="129"/>
      <c r="F206" s="129"/>
      <c r="G206" s="129"/>
      <c r="H206" s="38" t="str">
        <f t="shared" ref="H206" si="254">IF(ISERROR(MATCH(U207,$AF203:$AQ203,0)),"攻撃力","防御力合計")</f>
        <v>攻撃力</v>
      </c>
      <c r="I206" s="45"/>
      <c r="J206" s="46"/>
      <c r="K206" s="47" t="str">
        <f t="shared" ref="K206" si="255">IF(H206="防御力合計","叩防","")</f>
        <v/>
      </c>
      <c r="L206" s="48"/>
      <c r="M206" s="47" t="str">
        <f t="shared" ref="M206" si="256">IF(H206="防御力合計","斬防","")</f>
        <v/>
      </c>
      <c r="N206" s="48"/>
      <c r="O206" s="47" t="str">
        <f t="shared" ref="O206" si="257">IF(H206="防御力合計","突防","")</f>
        <v/>
      </c>
      <c r="P206" s="48"/>
      <c r="Q206" s="47" t="str">
        <f t="shared" ref="Q206" si="258">IF(H206="防御力合計","魔防","")</f>
        <v/>
      </c>
      <c r="R206" s="46"/>
      <c r="U206" s="2" t="s">
        <v>113</v>
      </c>
      <c r="W206" s="2" t="s">
        <v>115</v>
      </c>
      <c r="Z206" s="2" t="s">
        <v>118</v>
      </c>
      <c r="AA206" s="2" t="s">
        <v>119</v>
      </c>
      <c r="AC206" s="2" t="s">
        <v>120</v>
      </c>
      <c r="AD206" s="2" t="s">
        <v>121</v>
      </c>
    </row>
    <row r="207" spans="2:47" x14ac:dyDescent="0.15">
      <c r="B207" s="37"/>
      <c r="C207" s="35" t="s">
        <v>122</v>
      </c>
      <c r="D207" s="36"/>
      <c r="E207" s="36"/>
      <c r="F207" s="36"/>
      <c r="G207" s="36"/>
      <c r="H207" s="36"/>
      <c r="I207" s="36"/>
      <c r="J207" s="36"/>
      <c r="K207" s="36"/>
      <c r="L207" s="36"/>
      <c r="M207" s="44"/>
      <c r="N207" s="44"/>
      <c r="O207" s="44"/>
      <c r="P207" s="36"/>
      <c r="Q207" s="36"/>
      <c r="R207" s="56"/>
      <c r="T207" s="2" t="s">
        <v>173</v>
      </c>
      <c r="U207" s="2" t="str">
        <f t="shared" ref="U207" si="259">E205</f>
        <v>短剣</v>
      </c>
      <c r="W207" s="2" t="str">
        <f t="shared" ref="W207" si="260">J205</f>
        <v>メノス銅</v>
      </c>
      <c r="Y207" s="2" t="str">
        <f t="shared" ref="Y207" si="261">H206</f>
        <v>攻撃力</v>
      </c>
      <c r="Z207" s="2" t="str">
        <f t="shared" ref="Z207" si="262">IF(ISBLANK(J206),"-",J206)</f>
        <v>-</v>
      </c>
      <c r="AA207" s="2" t="str">
        <f t="shared" ref="AA207" si="263">IF(OR(ISBLANK(L206),ISBLANK(N206),ISBLANK(P206),ISBLANK(R206)),"-",SUM(K206:R206))</f>
        <v>-</v>
      </c>
      <c r="AB207" s="2" t="str">
        <f t="shared" ref="AB207" si="264">D206</f>
        <v>防御力合計で計算</v>
      </c>
      <c r="AC207" s="2" t="str">
        <f t="shared" ref="AC207:AC208" si="265">IF(OR(Y207="攻撃力",AB207="防御力合計で計算"),Z207,AA207)</f>
        <v>-</v>
      </c>
      <c r="AD207" s="1">
        <f>INDEX(主原料マスタ!$D$5:$D$59,MATCH(W207,主原料マスタ!$B$5:$B$59,0))</f>
        <v>0</v>
      </c>
    </row>
    <row r="208" spans="2:47" x14ac:dyDescent="0.15">
      <c r="B208" s="37"/>
      <c r="C208" s="37"/>
      <c r="D208" s="41" t="s">
        <v>113</v>
      </c>
      <c r="E208" s="129" t="s">
        <v>161</v>
      </c>
      <c r="F208" s="129"/>
      <c r="G208" s="129"/>
      <c r="H208" s="38" t="s">
        <v>115</v>
      </c>
      <c r="I208" s="45"/>
      <c r="J208" s="129" t="s">
        <v>148</v>
      </c>
      <c r="K208" s="129"/>
      <c r="L208" s="129"/>
      <c r="M208" s="42"/>
      <c r="N208" s="42"/>
      <c r="O208" s="42"/>
      <c r="P208" s="42"/>
      <c r="Q208" s="42"/>
      <c r="R208" s="45"/>
      <c r="T208" s="2" t="s">
        <v>174</v>
      </c>
      <c r="U208" s="2" t="str">
        <f t="shared" ref="U208" si="266">E208</f>
        <v>短剣_(有効)</v>
      </c>
      <c r="V208" s="2" t="str">
        <f t="shared" ref="V208" si="267">LEFT(U208,FIND("_",U208)-1)</f>
        <v>短剣</v>
      </c>
      <c r="W208" s="2" t="str">
        <f t="shared" ref="W208" si="268">J208</f>
        <v>メノス銅</v>
      </c>
      <c r="Y208" s="2" t="str">
        <f t="shared" ref="Y208" si="269">H209</f>
        <v>攻撃力</v>
      </c>
      <c r="Z208" s="2" t="str">
        <f t="shared" ref="Z208" si="270">IF(ISBLANK(J209),"-",J209)</f>
        <v>-</v>
      </c>
      <c r="AA208" s="2" t="str">
        <f t="shared" ref="AA208" si="271">IF(OR(ISBLANK(L209),ISBLANK(N209),ISBLANK(P209),ISBLANK(R209)),"-",SUM(K209:R209))</f>
        <v>-</v>
      </c>
      <c r="AB208" s="2" t="str">
        <f t="shared" ref="AB208" si="272">D209</f>
        <v>防御力合計で計算</v>
      </c>
      <c r="AC208" s="2" t="str">
        <f t="shared" si="265"/>
        <v>-</v>
      </c>
      <c r="AD208" s="1">
        <f>INDEX(主原料マスタ!$D$5:$D$59,MATCH(W208,主原料マスタ!$B$5:$B$59,0))</f>
        <v>0</v>
      </c>
    </row>
    <row r="209" spans="2:47" x14ac:dyDescent="0.15">
      <c r="B209" s="37"/>
      <c r="C209" s="40"/>
      <c r="D209" s="130" t="s">
        <v>72</v>
      </c>
      <c r="E209" s="129"/>
      <c r="F209" s="129"/>
      <c r="G209" s="129"/>
      <c r="H209" s="38" t="str">
        <f t="shared" ref="H209" si="273">IF(ISERROR(MATCH(V208,$AF203:$AQ203,0)),"攻撃力","防御力合計")</f>
        <v>攻撃力</v>
      </c>
      <c r="I209" s="45"/>
      <c r="J209" s="46"/>
      <c r="K209" s="47" t="str">
        <f t="shared" ref="K209" si="274">IF(H209="防御力合計","叩防","")</f>
        <v/>
      </c>
      <c r="L209" s="48"/>
      <c r="M209" s="47" t="str">
        <f t="shared" ref="M209" si="275">IF(H209="防御力合計","斬防","")</f>
        <v/>
      </c>
      <c r="N209" s="48"/>
      <c r="O209" s="47" t="str">
        <f t="shared" ref="O209" si="276">IF(H209="防御力合計","突防","")</f>
        <v/>
      </c>
      <c r="P209" s="48"/>
      <c r="Q209" s="47" t="str">
        <f t="shared" ref="Q209" si="277">IF(H209="防御力合計","魔防","")</f>
        <v/>
      </c>
      <c r="R209" s="46"/>
      <c r="W209" s="2" t="s">
        <v>127</v>
      </c>
      <c r="Z209" s="2" t="s">
        <v>128</v>
      </c>
      <c r="AA209" s="2" t="s">
        <v>102</v>
      </c>
      <c r="AB209" s="2" t="s">
        <v>129</v>
      </c>
      <c r="AD209" s="1">
        <f t="shared" ref="AD209" si="278">MOD(AD207+AD208,11)</f>
        <v>0</v>
      </c>
      <c r="AE209" s="61" t="str">
        <f>IF(U210="-","",INDEX(ロジック形状!$C$5:$C$26,MATCH(AD209,ロジック形状!$B$5:$B$26,0),))</f>
        <v>□□□□</v>
      </c>
    </row>
    <row r="210" spans="2:47" x14ac:dyDescent="0.15">
      <c r="B210" s="37"/>
      <c r="C210" s="35" t="s">
        <v>130</v>
      </c>
      <c r="D210" s="36"/>
      <c r="E210" s="36"/>
      <c r="F210" s="36"/>
      <c r="G210" s="36"/>
      <c r="H210" s="36"/>
      <c r="I210" s="36"/>
      <c r="J210" s="36"/>
      <c r="K210" s="36"/>
      <c r="L210" s="36"/>
      <c r="M210" s="36"/>
      <c r="N210" s="49" t="s">
        <v>131</v>
      </c>
      <c r="O210" s="50"/>
      <c r="P210" s="51"/>
      <c r="Q210" s="57" t="str">
        <f t="shared" ref="Q210:Q211" si="279">AE209</f>
        <v>□□□□</v>
      </c>
      <c r="R210" s="58"/>
      <c r="T210" s="2" t="s">
        <v>110</v>
      </c>
      <c r="U210" s="2" t="str">
        <f t="shared" ref="U210" si="280">INDEX(U204:AU204,,MATCH(V208,U203:AU203,0))</f>
        <v>チェインスピア</v>
      </c>
      <c r="W210" s="2" t="str">
        <f>IF(U210="-","-",INDEX(ロジックマスタ!$D$5:$D$56,MATCH(U210,ロジックマスタ!$B$5:$B$56,0),))</f>
        <v>C</v>
      </c>
      <c r="Y210" s="2" t="s">
        <v>132</v>
      </c>
      <c r="Z210" s="1">
        <f t="shared" ref="Z210" si="281">IF(OR(AC207="-",AC208="-"),0,(AC207+AC208)/17)</f>
        <v>0</v>
      </c>
      <c r="AA210" s="1">
        <f t="shared" ref="AA210" si="282">ROUNDDOWN(MIN(MAX(Z210,0),9),0)</f>
        <v>0</v>
      </c>
      <c r="AB210" s="2" t="str">
        <f t="shared" ref="AB210" si="283">IF(OR(AA210=0,W210="-"),"","＋"&amp;AA210)</f>
        <v/>
      </c>
      <c r="AE210" s="61" t="str">
        <f>IF(U210="-","",INDEX(ロジック形状!$C$5:$C$26,MATCH(AD209,ロジック形状!$B$5:$B$26,0)+1,))</f>
        <v>■□□□</v>
      </c>
    </row>
    <row r="211" spans="2:47" x14ac:dyDescent="0.15">
      <c r="B211" s="40"/>
      <c r="C211" s="40"/>
      <c r="D211" s="38" t="s">
        <v>133</v>
      </c>
      <c r="E211" s="42"/>
      <c r="F211" s="42"/>
      <c r="G211" s="131" t="str">
        <f t="shared" ref="G211" si="284">U210&amp;AB210</f>
        <v>チェインスピア</v>
      </c>
      <c r="H211" s="131"/>
      <c r="I211" s="131"/>
      <c r="J211" s="38" t="s">
        <v>127</v>
      </c>
      <c r="K211" s="42"/>
      <c r="L211" s="43" t="str">
        <f t="shared" ref="L211" si="285">W210</f>
        <v>C</v>
      </c>
      <c r="M211" s="52"/>
      <c r="N211" s="53"/>
      <c r="O211" s="54"/>
      <c r="P211" s="55"/>
      <c r="Q211" s="59" t="str">
        <f t="shared" si="279"/>
        <v>■□□□</v>
      </c>
      <c r="R211" s="60"/>
    </row>
    <row r="213" spans="2:47" x14ac:dyDescent="0.15">
      <c r="B213" s="35" t="s">
        <v>110</v>
      </c>
      <c r="C213" s="36"/>
      <c r="D213" s="36"/>
      <c r="E213" s="36"/>
      <c r="F213" s="36"/>
      <c r="G213" s="36"/>
      <c r="H213" s="36"/>
      <c r="I213" s="36"/>
      <c r="J213" s="36"/>
      <c r="K213" s="36"/>
      <c r="L213" s="36"/>
      <c r="M213" s="36"/>
      <c r="N213" s="36"/>
      <c r="O213" s="36"/>
      <c r="P213" s="36"/>
      <c r="Q213" s="36"/>
      <c r="R213" s="56"/>
      <c r="T213" s="2" t="s">
        <v>172</v>
      </c>
      <c r="U213" s="2" t="str">
        <f t="shared" si="213"/>
        <v>短剣</v>
      </c>
      <c r="V213" s="2" t="str">
        <f t="shared" si="213"/>
        <v>片手剣</v>
      </c>
      <c r="W213" s="2" t="str">
        <f t="shared" si="213"/>
        <v>片手斧</v>
      </c>
      <c r="X213" s="2" t="str">
        <f t="shared" si="213"/>
        <v>両手剣</v>
      </c>
      <c r="Y213" s="2" t="str">
        <f t="shared" si="213"/>
        <v>両手斧</v>
      </c>
      <c r="Z213" s="2" t="str">
        <f t="shared" si="213"/>
        <v>ハンマー</v>
      </c>
      <c r="AA213" s="2" t="str">
        <f t="shared" si="213"/>
        <v>槍</v>
      </c>
      <c r="AB213" s="2" t="str">
        <f t="shared" si="213"/>
        <v>杖</v>
      </c>
      <c r="AC213" s="2" t="str">
        <f t="shared" ref="AC213:AJ213" si="286">INDEX($A$2:$A$28,COLUMN()-COLUMN($U213)+1,)</f>
        <v>ナックル</v>
      </c>
      <c r="AD213" s="2" t="str">
        <f t="shared" si="286"/>
        <v>ヌンチャク</v>
      </c>
      <c r="AE213" s="2" t="str">
        <f t="shared" si="286"/>
        <v>弓矢</v>
      </c>
      <c r="AF213" s="2" t="str">
        <f t="shared" si="286"/>
        <v>盾</v>
      </c>
      <c r="AG213" s="2" t="str">
        <f t="shared" si="286"/>
        <v>兜</v>
      </c>
      <c r="AH213" s="2" t="str">
        <f t="shared" si="286"/>
        <v>帽子</v>
      </c>
      <c r="AI213" s="2" t="str">
        <f t="shared" si="286"/>
        <v>鎧</v>
      </c>
      <c r="AJ213" s="2" t="str">
        <f t="shared" si="286"/>
        <v>全身鎧</v>
      </c>
      <c r="AK213" s="2" t="str">
        <f t="shared" ref="AK213:AU213" si="287">INDEX($A$2:$A$28,COLUMN()-COLUMN($U213)+1,)</f>
        <v>ローブ</v>
      </c>
      <c r="AL213" s="2" t="str">
        <f t="shared" si="287"/>
        <v>小手</v>
      </c>
      <c r="AM213" s="2" t="str">
        <f t="shared" si="287"/>
        <v>ブーツ</v>
      </c>
      <c r="AN213" s="2" t="str">
        <f t="shared" si="287"/>
        <v>サンダル</v>
      </c>
      <c r="AO213" s="2" t="str">
        <f t="shared" si="287"/>
        <v>マント</v>
      </c>
      <c r="AP213" s="2" t="str">
        <f t="shared" si="287"/>
        <v>リング</v>
      </c>
      <c r="AQ213" s="2" t="str">
        <f t="shared" si="287"/>
        <v>ペンダント</v>
      </c>
      <c r="AR213" s="2" t="str">
        <f t="shared" si="287"/>
        <v>ハープ</v>
      </c>
      <c r="AS213" s="2" t="str">
        <f t="shared" si="287"/>
        <v>マリンバ</v>
      </c>
      <c r="AT213" s="2" t="str">
        <f t="shared" si="287"/>
        <v>フルート</v>
      </c>
      <c r="AU213" s="2" t="str">
        <f t="shared" si="287"/>
        <v>ドラム</v>
      </c>
    </row>
    <row r="214" spans="2:47" x14ac:dyDescent="0.15">
      <c r="B214" s="37"/>
      <c r="C214" s="35" t="s">
        <v>112</v>
      </c>
      <c r="D214" s="36"/>
      <c r="E214" s="36"/>
      <c r="F214" s="36"/>
      <c r="G214" s="36"/>
      <c r="H214" s="36"/>
      <c r="I214" s="36"/>
      <c r="J214" s="36"/>
      <c r="K214" s="44"/>
      <c r="L214" s="44"/>
      <c r="M214" s="44"/>
      <c r="N214" s="44"/>
      <c r="O214" s="44"/>
      <c r="P214" s="36"/>
      <c r="Q214" s="36"/>
      <c r="R214" s="56"/>
      <c r="T214" s="2" t="s">
        <v>110</v>
      </c>
      <c r="U214" s="2" t="str">
        <f>INDEX(ロジックテーブル!$D$6:$AD$32,MATCH($U217,ロジックテーブル!$C$6:$C$32,0),MATCH(U213,ロジックテーブル!$D$5:$AD$5,0))</f>
        <v>チェインスピア</v>
      </c>
      <c r="V214" s="2" t="str">
        <f>INDEX(ロジックテーブル!$D$6:$AD$32,MATCH($U217,ロジックテーブル!$C$6:$C$32,0),MATCH(V213,ロジックテーブル!$D$5:$AD$5,0))</f>
        <v>チェーンギロチン</v>
      </c>
      <c r="W214" s="2" t="str">
        <f>INDEX(ロジックテーブル!$D$6:$AD$32,MATCH($U217,ロジックテーブル!$C$6:$C$32,0),MATCH(W213,ロジックテーブル!$D$5:$AD$5,0))</f>
        <v>チェーンギロチン</v>
      </c>
      <c r="X214" s="2" t="str">
        <f>INDEX(ロジックテーブル!$D$6:$AD$32,MATCH($U217,ロジックテーブル!$C$6:$C$32,0),MATCH(X213,ロジックテーブル!$D$5:$AD$5,0))</f>
        <v>-</v>
      </c>
      <c r="Y214" s="2" t="str">
        <f>INDEX(ロジックテーブル!$D$6:$AD$32,MATCH($U217,ロジックテーブル!$C$6:$C$32,0),MATCH(Y213,ロジックテーブル!$D$5:$AD$5,0))</f>
        <v>-</v>
      </c>
      <c r="Z214" s="2" t="str">
        <f>INDEX(ロジックテーブル!$D$6:$AD$32,MATCH($U217,ロジックテーブル!$C$6:$C$32,0),MATCH(Z213,ロジックテーブル!$D$5:$AD$5,0))</f>
        <v>-</v>
      </c>
      <c r="AA214" s="2" t="str">
        <f>INDEX(ロジックテーブル!$D$6:$AD$32,MATCH($U217,ロジックテーブル!$C$6:$C$32,0),MATCH(AA213,ロジックテーブル!$D$5:$AD$5,0))</f>
        <v>-</v>
      </c>
      <c r="AB214" s="2" t="str">
        <f>INDEX(ロジックテーブル!$D$6:$AD$32,MATCH($U217,ロジックテーブル!$C$6:$C$32,0),MATCH(AB213,ロジックテーブル!$D$5:$AD$5,0))</f>
        <v>-</v>
      </c>
      <c r="AC214" s="2" t="str">
        <f>INDEX(ロジックテーブル!$D$6:$AD$32,MATCH($U217,ロジックテーブル!$C$6:$C$32,0),MATCH(AC213,ロジックテーブル!$D$5:$AD$5,0))</f>
        <v>チェインドリル</v>
      </c>
      <c r="AD214" s="2" t="str">
        <f>INDEX(ロジックテーブル!$D$6:$AD$32,MATCH($U217,ロジックテーブル!$C$6:$C$32,0),MATCH(AD213,ロジックテーブル!$D$5:$AD$5,0))</f>
        <v>-</v>
      </c>
      <c r="AE214" s="2" t="str">
        <f>INDEX(ロジックテーブル!$D$6:$AD$32,MATCH($U217,ロジックテーブル!$C$6:$C$32,0),MATCH(AE213,ロジックテーブル!$D$5:$AD$5,0))</f>
        <v>-</v>
      </c>
      <c r="AF214" s="2" t="str">
        <f>INDEX(ロジックテーブル!$D$6:$AD$32,MATCH($U217,ロジックテーブル!$C$6:$C$32,0),MATCH(AF213,ロジックテーブル!$D$5:$AD$5,0))</f>
        <v>-</v>
      </c>
      <c r="AG214" s="2" t="str">
        <f>INDEX(ロジックテーブル!$D$6:$AD$32,MATCH($U217,ロジックテーブル!$C$6:$C$32,0),MATCH(AG213,ロジックテーブル!$D$5:$AD$5,0))</f>
        <v>-</v>
      </c>
      <c r="AH214" s="2" t="str">
        <f>INDEX(ロジックテーブル!$D$6:$AD$32,MATCH($U217,ロジックテーブル!$C$6:$C$32,0),MATCH(AH213,ロジックテーブル!$D$5:$AD$5,0))</f>
        <v>-</v>
      </c>
      <c r="AI214" s="2" t="str">
        <f>INDEX(ロジックテーブル!$D$6:$AD$32,MATCH($U217,ロジックテーブル!$C$6:$C$32,0),MATCH(AI213,ロジックテーブル!$D$5:$AD$5,0))</f>
        <v>-</v>
      </c>
      <c r="AJ214" s="2" t="str">
        <f>INDEX(ロジックテーブル!$D$6:$AD$32,MATCH($U217,ロジックテーブル!$C$6:$C$32,0),MATCH(AJ213,ロジックテーブル!$D$5:$AD$5,0))</f>
        <v>-</v>
      </c>
      <c r="AK214" s="2" t="str">
        <f>INDEX(ロジックテーブル!$D$6:$AD$32,MATCH($U217,ロジックテーブル!$C$6:$C$32,0),MATCH(AK213,ロジックテーブル!$D$5:$AD$5,0))</f>
        <v>-</v>
      </c>
      <c r="AL214" s="2" t="str">
        <f>INDEX(ロジックテーブル!$D$6:$AD$32,MATCH($U217,ロジックテーブル!$C$6:$C$32,0),MATCH(AL213,ロジックテーブル!$D$5:$AD$5,0))</f>
        <v>-</v>
      </c>
      <c r="AM214" s="2" t="str">
        <f>INDEX(ロジックテーブル!$D$6:$AD$32,MATCH($U217,ロジックテーブル!$C$6:$C$32,0),MATCH(AM213,ロジックテーブル!$D$5:$AD$5,0))</f>
        <v>-</v>
      </c>
      <c r="AN214" s="2" t="str">
        <f>INDEX(ロジックテーブル!$D$6:$AD$32,MATCH($U217,ロジックテーブル!$C$6:$C$32,0),MATCH(AN213,ロジックテーブル!$D$5:$AD$5,0))</f>
        <v>-</v>
      </c>
      <c r="AO214" s="2" t="str">
        <f>INDEX(ロジックテーブル!$D$6:$AD$32,MATCH($U217,ロジックテーブル!$C$6:$C$32,0),MATCH(AO213,ロジックテーブル!$D$5:$AD$5,0))</f>
        <v>-</v>
      </c>
      <c r="AP214" s="2" t="str">
        <f>INDEX(ロジックテーブル!$D$6:$AD$32,MATCH($U217,ロジックテーブル!$C$6:$C$32,0),MATCH(AP213,ロジックテーブル!$D$5:$AD$5,0))</f>
        <v>-</v>
      </c>
      <c r="AQ214" s="2" t="str">
        <f>INDEX(ロジックテーブル!$D$6:$AD$32,MATCH($U217,ロジックテーブル!$C$6:$C$32,0),MATCH(AQ213,ロジックテーブル!$D$5:$AD$5,0))</f>
        <v>-</v>
      </c>
      <c r="AR214" s="2" t="str">
        <f>INDEX(ロジックテーブル!$D$6:$AD$32,MATCH($U217,ロジックテーブル!$C$6:$C$32,0),MATCH(AR213,ロジックテーブル!$D$5:$AD$5,0))</f>
        <v>ドリルロケット</v>
      </c>
      <c r="AS214" s="2" t="str">
        <f>INDEX(ロジックテーブル!$D$6:$AD$32,MATCH($U217,ロジックテーブル!$C$6:$C$32,0),MATCH(AS213,ロジックテーブル!$D$5:$AD$5,0))</f>
        <v>-</v>
      </c>
      <c r="AT214" s="2" t="str">
        <f>INDEX(ロジックテーブル!$D$6:$AD$32,MATCH($U217,ロジックテーブル!$C$6:$C$32,0),MATCH(AT213,ロジックテーブル!$D$5:$AD$5,0))</f>
        <v>-</v>
      </c>
      <c r="AU214" s="2" t="str">
        <f>INDEX(ロジックテーブル!$D$6:$AD$32,MATCH($U217,ロジックテーブル!$C$6:$C$32,0),MATCH(AU213,ロジックテーブル!$D$5:$AD$5,0))</f>
        <v>-</v>
      </c>
    </row>
    <row r="215" spans="2:47" x14ac:dyDescent="0.15">
      <c r="B215" s="37"/>
      <c r="C215" s="37"/>
      <c r="D215" s="38" t="s">
        <v>113</v>
      </c>
      <c r="E215" s="129" t="s">
        <v>158</v>
      </c>
      <c r="F215" s="129"/>
      <c r="G215" s="129"/>
      <c r="H215" s="38" t="s">
        <v>115</v>
      </c>
      <c r="I215" s="45"/>
      <c r="J215" s="129" t="s">
        <v>148</v>
      </c>
      <c r="K215" s="129"/>
      <c r="L215" s="129"/>
      <c r="M215" s="42"/>
      <c r="N215" s="42"/>
      <c r="O215" s="42"/>
      <c r="P215" s="42"/>
      <c r="Q215" s="42"/>
      <c r="R215" s="45"/>
      <c r="T215" s="2" t="s">
        <v>175</v>
      </c>
      <c r="U215" s="2" t="str">
        <f t="shared" ref="U215:AB215" si="288">U213&amp;"_"&amp;IF(U214="-","(無効)","(有効)")</f>
        <v>短剣_(有効)</v>
      </c>
      <c r="V215" s="2" t="str">
        <f t="shared" si="288"/>
        <v>片手剣_(有効)</v>
      </c>
      <c r="W215" s="2" t="str">
        <f t="shared" si="288"/>
        <v>片手斧_(有効)</v>
      </c>
      <c r="X215" s="2" t="str">
        <f t="shared" si="288"/>
        <v>両手剣_(無効)</v>
      </c>
      <c r="Y215" s="2" t="str">
        <f t="shared" si="288"/>
        <v>両手斧_(無効)</v>
      </c>
      <c r="Z215" s="2" t="str">
        <f t="shared" si="288"/>
        <v>ハンマー_(無効)</v>
      </c>
      <c r="AA215" s="2" t="str">
        <f t="shared" si="288"/>
        <v>槍_(無効)</v>
      </c>
      <c r="AB215" s="2" t="str">
        <f t="shared" si="288"/>
        <v>杖_(無効)</v>
      </c>
      <c r="AC215" s="2" t="str">
        <f t="shared" ref="AC215:AU215" si="289">AC213&amp;"_"&amp;IF(AC214="-","(無効)","(有効)")</f>
        <v>ナックル_(有効)</v>
      </c>
      <c r="AD215" s="2" t="str">
        <f t="shared" si="289"/>
        <v>ヌンチャク_(無効)</v>
      </c>
      <c r="AE215" s="2" t="str">
        <f t="shared" si="289"/>
        <v>弓矢_(無効)</v>
      </c>
      <c r="AF215" s="2" t="str">
        <f t="shared" si="289"/>
        <v>盾_(無効)</v>
      </c>
      <c r="AG215" s="2" t="str">
        <f t="shared" si="289"/>
        <v>兜_(無効)</v>
      </c>
      <c r="AH215" s="2" t="str">
        <f t="shared" si="289"/>
        <v>帽子_(無効)</v>
      </c>
      <c r="AI215" s="2" t="str">
        <f t="shared" si="289"/>
        <v>鎧_(無効)</v>
      </c>
      <c r="AJ215" s="2" t="str">
        <f t="shared" si="289"/>
        <v>全身鎧_(無効)</v>
      </c>
      <c r="AK215" s="2" t="str">
        <f t="shared" si="289"/>
        <v>ローブ_(無効)</v>
      </c>
      <c r="AL215" s="2" t="str">
        <f t="shared" si="289"/>
        <v>小手_(無効)</v>
      </c>
      <c r="AM215" s="2" t="str">
        <f t="shared" si="289"/>
        <v>ブーツ_(無効)</v>
      </c>
      <c r="AN215" s="2" t="str">
        <f t="shared" si="289"/>
        <v>サンダル_(無効)</v>
      </c>
      <c r="AO215" s="2" t="str">
        <f t="shared" si="289"/>
        <v>マント_(無効)</v>
      </c>
      <c r="AP215" s="2" t="str">
        <f t="shared" si="289"/>
        <v>リング_(無効)</v>
      </c>
      <c r="AQ215" s="2" t="str">
        <f t="shared" si="289"/>
        <v>ペンダント_(無効)</v>
      </c>
      <c r="AR215" s="2" t="str">
        <f t="shared" si="289"/>
        <v>ハープ_(有効)</v>
      </c>
      <c r="AS215" s="2" t="str">
        <f t="shared" si="289"/>
        <v>マリンバ_(無効)</v>
      </c>
      <c r="AT215" s="2" t="str">
        <f t="shared" si="289"/>
        <v>フルート_(無効)</v>
      </c>
      <c r="AU215" s="2" t="str">
        <f t="shared" si="289"/>
        <v>ドラム_(無効)</v>
      </c>
    </row>
    <row r="216" spans="2:47" x14ac:dyDescent="0.15">
      <c r="B216" s="37"/>
      <c r="C216" s="40"/>
      <c r="D216" s="130" t="s">
        <v>72</v>
      </c>
      <c r="E216" s="129"/>
      <c r="F216" s="129"/>
      <c r="G216" s="129"/>
      <c r="H216" s="38" t="str">
        <f t="shared" ref="H216" si="290">IF(ISERROR(MATCH(U217,$AF213:$AQ213,0)),"攻撃力","防御力合計")</f>
        <v>攻撃力</v>
      </c>
      <c r="I216" s="45"/>
      <c r="J216" s="46"/>
      <c r="K216" s="47" t="str">
        <f t="shared" ref="K216" si="291">IF(H216="防御力合計","叩防","")</f>
        <v/>
      </c>
      <c r="L216" s="48"/>
      <c r="M216" s="47" t="str">
        <f t="shared" ref="M216" si="292">IF(H216="防御力合計","斬防","")</f>
        <v/>
      </c>
      <c r="N216" s="48"/>
      <c r="O216" s="47" t="str">
        <f t="shared" ref="O216" si="293">IF(H216="防御力合計","突防","")</f>
        <v/>
      </c>
      <c r="P216" s="48"/>
      <c r="Q216" s="47" t="str">
        <f t="shared" ref="Q216" si="294">IF(H216="防御力合計","魔防","")</f>
        <v/>
      </c>
      <c r="R216" s="46"/>
      <c r="U216" s="2" t="s">
        <v>113</v>
      </c>
      <c r="W216" s="2" t="s">
        <v>115</v>
      </c>
      <c r="Z216" s="2" t="s">
        <v>118</v>
      </c>
      <c r="AA216" s="2" t="s">
        <v>119</v>
      </c>
      <c r="AC216" s="2" t="s">
        <v>120</v>
      </c>
      <c r="AD216" s="2" t="s">
        <v>121</v>
      </c>
    </row>
    <row r="217" spans="2:47" x14ac:dyDescent="0.15">
      <c r="B217" s="37"/>
      <c r="C217" s="35" t="s">
        <v>122</v>
      </c>
      <c r="D217" s="36"/>
      <c r="E217" s="36"/>
      <c r="F217" s="36"/>
      <c r="G217" s="36"/>
      <c r="H217" s="36"/>
      <c r="I217" s="36"/>
      <c r="J217" s="36"/>
      <c r="K217" s="36"/>
      <c r="L217" s="36"/>
      <c r="M217" s="44"/>
      <c r="N217" s="44"/>
      <c r="O217" s="44"/>
      <c r="P217" s="36"/>
      <c r="Q217" s="36"/>
      <c r="R217" s="56"/>
      <c r="T217" s="2" t="s">
        <v>176</v>
      </c>
      <c r="U217" s="2" t="str">
        <f t="shared" ref="U217" si="295">E215</f>
        <v>短剣</v>
      </c>
      <c r="W217" s="2" t="str">
        <f t="shared" ref="W217" si="296">J215</f>
        <v>メノス銅</v>
      </c>
      <c r="Y217" s="2" t="str">
        <f t="shared" ref="Y217" si="297">H216</f>
        <v>攻撃力</v>
      </c>
      <c r="Z217" s="2" t="str">
        <f t="shared" ref="Z217" si="298">IF(ISBLANK(J216),"-",J216)</f>
        <v>-</v>
      </c>
      <c r="AA217" s="2" t="str">
        <f t="shared" ref="AA217" si="299">IF(OR(ISBLANK(L216),ISBLANK(N216),ISBLANK(P216),ISBLANK(R216)),"-",SUM(K216:R216))</f>
        <v>-</v>
      </c>
      <c r="AB217" s="2" t="str">
        <f t="shared" ref="AB217" si="300">D216</f>
        <v>防御力合計で計算</v>
      </c>
      <c r="AC217" s="2" t="str">
        <f t="shared" ref="AC217:AC218" si="301">IF(OR(Y217="攻撃力",AB217="防御力合計で計算"),Z217,AA217)</f>
        <v>-</v>
      </c>
      <c r="AD217" s="1">
        <f>INDEX(主原料マスタ!$D$5:$D$59,MATCH(W217,主原料マスタ!$B$5:$B$59,0))</f>
        <v>0</v>
      </c>
    </row>
    <row r="218" spans="2:47" x14ac:dyDescent="0.15">
      <c r="B218" s="37"/>
      <c r="C218" s="37"/>
      <c r="D218" s="41" t="s">
        <v>113</v>
      </c>
      <c r="E218" s="129" t="s">
        <v>161</v>
      </c>
      <c r="F218" s="129"/>
      <c r="G218" s="129"/>
      <c r="H218" s="38" t="s">
        <v>115</v>
      </c>
      <c r="I218" s="45"/>
      <c r="J218" s="129" t="s">
        <v>148</v>
      </c>
      <c r="K218" s="129"/>
      <c r="L218" s="129"/>
      <c r="M218" s="42"/>
      <c r="N218" s="42"/>
      <c r="O218" s="42"/>
      <c r="P218" s="42"/>
      <c r="Q218" s="42"/>
      <c r="R218" s="45"/>
      <c r="T218" s="2" t="s">
        <v>177</v>
      </c>
      <c r="U218" s="2" t="str">
        <f t="shared" ref="U218" si="302">E218</f>
        <v>短剣_(有効)</v>
      </c>
      <c r="V218" s="2" t="str">
        <f t="shared" ref="V218" si="303">LEFT(U218,FIND("_",U218)-1)</f>
        <v>短剣</v>
      </c>
      <c r="W218" s="2" t="str">
        <f t="shared" ref="W218" si="304">J218</f>
        <v>メノス銅</v>
      </c>
      <c r="Y218" s="2" t="str">
        <f t="shared" ref="Y218" si="305">H219</f>
        <v>攻撃力</v>
      </c>
      <c r="Z218" s="2" t="str">
        <f t="shared" ref="Z218" si="306">IF(ISBLANK(J219),"-",J219)</f>
        <v>-</v>
      </c>
      <c r="AA218" s="2" t="str">
        <f t="shared" ref="AA218" si="307">IF(OR(ISBLANK(L219),ISBLANK(N219),ISBLANK(P219),ISBLANK(R219)),"-",SUM(K219:R219))</f>
        <v>-</v>
      </c>
      <c r="AB218" s="2" t="str">
        <f t="shared" ref="AB218" si="308">D219</f>
        <v>防御力合計で計算</v>
      </c>
      <c r="AC218" s="2" t="str">
        <f t="shared" si="301"/>
        <v>-</v>
      </c>
      <c r="AD218" s="1">
        <f>INDEX(主原料マスタ!$D$5:$D$59,MATCH(W218,主原料マスタ!$B$5:$B$59,0))</f>
        <v>0</v>
      </c>
    </row>
    <row r="219" spans="2:47" x14ac:dyDescent="0.15">
      <c r="B219" s="37"/>
      <c r="C219" s="40"/>
      <c r="D219" s="130" t="s">
        <v>72</v>
      </c>
      <c r="E219" s="129"/>
      <c r="F219" s="129"/>
      <c r="G219" s="129"/>
      <c r="H219" s="38" t="str">
        <f t="shared" ref="H219" si="309">IF(ISERROR(MATCH(V218,$AF213:$AQ213,0)),"攻撃力","防御力合計")</f>
        <v>攻撃力</v>
      </c>
      <c r="I219" s="45"/>
      <c r="J219" s="46"/>
      <c r="K219" s="47" t="str">
        <f t="shared" ref="K219" si="310">IF(H219="防御力合計","叩防","")</f>
        <v/>
      </c>
      <c r="L219" s="48"/>
      <c r="M219" s="47" t="str">
        <f t="shared" ref="M219" si="311">IF(H219="防御力合計","斬防","")</f>
        <v/>
      </c>
      <c r="N219" s="48"/>
      <c r="O219" s="47" t="str">
        <f t="shared" ref="O219" si="312">IF(H219="防御力合計","突防","")</f>
        <v/>
      </c>
      <c r="P219" s="48"/>
      <c r="Q219" s="47" t="str">
        <f t="shared" ref="Q219" si="313">IF(H219="防御力合計","魔防","")</f>
        <v/>
      </c>
      <c r="R219" s="46"/>
      <c r="W219" s="2" t="s">
        <v>127</v>
      </c>
      <c r="Z219" s="2" t="s">
        <v>128</v>
      </c>
      <c r="AA219" s="2" t="s">
        <v>102</v>
      </c>
      <c r="AB219" s="2" t="s">
        <v>129</v>
      </c>
      <c r="AD219" s="1">
        <f t="shared" ref="AD219" si="314">MOD(AD217+AD218,11)</f>
        <v>0</v>
      </c>
      <c r="AE219" s="61" t="str">
        <f>IF(U220="-","",INDEX(ロジック形状!$C$5:$C$26,MATCH(AD219,ロジック形状!$B$5:$B$26,0),))</f>
        <v>□□□□</v>
      </c>
    </row>
    <row r="220" spans="2:47" x14ac:dyDescent="0.15">
      <c r="B220" s="37"/>
      <c r="C220" s="35" t="s">
        <v>130</v>
      </c>
      <c r="D220" s="36"/>
      <c r="E220" s="36"/>
      <c r="F220" s="36"/>
      <c r="G220" s="36"/>
      <c r="H220" s="36"/>
      <c r="I220" s="36"/>
      <c r="J220" s="36"/>
      <c r="K220" s="36"/>
      <c r="L220" s="36"/>
      <c r="M220" s="36"/>
      <c r="N220" s="49" t="s">
        <v>131</v>
      </c>
      <c r="O220" s="50"/>
      <c r="P220" s="51"/>
      <c r="Q220" s="57" t="str">
        <f t="shared" ref="Q220:Q221" si="315">AE219</f>
        <v>□□□□</v>
      </c>
      <c r="R220" s="58"/>
      <c r="T220" s="2" t="s">
        <v>110</v>
      </c>
      <c r="U220" s="2" t="str">
        <f t="shared" ref="U220" si="316">INDEX(U214:AU214,,MATCH(V218,U213:AU213,0))</f>
        <v>チェインスピア</v>
      </c>
      <c r="W220" s="2" t="str">
        <f>IF(U220="-","-",INDEX(ロジックマスタ!$D$5:$D$56,MATCH(U220,ロジックマスタ!$B$5:$B$56,0),))</f>
        <v>C</v>
      </c>
      <c r="Y220" s="2" t="s">
        <v>132</v>
      </c>
      <c r="Z220" s="1">
        <f t="shared" ref="Z220" si="317">IF(OR(AC217="-",AC218="-"),0,(AC217+AC218)/17)</f>
        <v>0</v>
      </c>
      <c r="AA220" s="1">
        <f t="shared" ref="AA220" si="318">ROUNDDOWN(MIN(MAX(Z220,0),9),0)</f>
        <v>0</v>
      </c>
      <c r="AB220" s="2" t="str">
        <f t="shared" ref="AB220" si="319">IF(OR(AA220=0,W220="-"),"","＋"&amp;AA220)</f>
        <v/>
      </c>
      <c r="AE220" s="61" t="str">
        <f>IF(U220="-","",INDEX(ロジック形状!$C$5:$C$26,MATCH(AD219,ロジック形状!$B$5:$B$26,0)+1,))</f>
        <v>■□□□</v>
      </c>
    </row>
    <row r="221" spans="2:47" x14ac:dyDescent="0.15">
      <c r="B221" s="40"/>
      <c r="C221" s="40"/>
      <c r="D221" s="38" t="s">
        <v>133</v>
      </c>
      <c r="E221" s="42"/>
      <c r="F221" s="42"/>
      <c r="G221" s="131" t="str">
        <f t="shared" ref="G221" si="320">U220&amp;AB220</f>
        <v>チェインスピア</v>
      </c>
      <c r="H221" s="131"/>
      <c r="I221" s="131"/>
      <c r="J221" s="38" t="s">
        <v>127</v>
      </c>
      <c r="K221" s="42"/>
      <c r="L221" s="43" t="str">
        <f t="shared" ref="L221" si="321">W220</f>
        <v>C</v>
      </c>
      <c r="M221" s="52"/>
      <c r="N221" s="53"/>
      <c r="O221" s="54"/>
      <c r="P221" s="55"/>
      <c r="Q221" s="59" t="str">
        <f t="shared" si="315"/>
        <v>■□□□</v>
      </c>
      <c r="R221" s="60"/>
    </row>
  </sheetData>
  <sheetProtection sheet="1" objects="1"/>
  <mergeCells count="84">
    <mergeCell ref="D216:G216"/>
    <mergeCell ref="E218:G218"/>
    <mergeCell ref="J218:L218"/>
    <mergeCell ref="D219:G219"/>
    <mergeCell ref="G221:I221"/>
    <mergeCell ref="E208:G208"/>
    <mergeCell ref="J208:L208"/>
    <mergeCell ref="D209:G209"/>
    <mergeCell ref="G211:I211"/>
    <mergeCell ref="E215:G215"/>
    <mergeCell ref="J215:L215"/>
    <mergeCell ref="D199:G199"/>
    <mergeCell ref="G201:I201"/>
    <mergeCell ref="E205:G205"/>
    <mergeCell ref="J205:L205"/>
    <mergeCell ref="D206:G206"/>
    <mergeCell ref="E195:G195"/>
    <mergeCell ref="J195:L195"/>
    <mergeCell ref="D196:G196"/>
    <mergeCell ref="E198:G198"/>
    <mergeCell ref="J198:L198"/>
    <mergeCell ref="D186:G186"/>
    <mergeCell ref="E188:G188"/>
    <mergeCell ref="J188:L188"/>
    <mergeCell ref="D189:G189"/>
    <mergeCell ref="G191:I191"/>
    <mergeCell ref="E178:G178"/>
    <mergeCell ref="J178:L178"/>
    <mergeCell ref="D179:G179"/>
    <mergeCell ref="G181:I181"/>
    <mergeCell ref="E185:G185"/>
    <mergeCell ref="J185:L185"/>
    <mergeCell ref="D169:G169"/>
    <mergeCell ref="G171:I171"/>
    <mergeCell ref="E175:G175"/>
    <mergeCell ref="J175:L175"/>
    <mergeCell ref="D176:G176"/>
    <mergeCell ref="E165:G165"/>
    <mergeCell ref="J165:L165"/>
    <mergeCell ref="D166:G166"/>
    <mergeCell ref="E168:G168"/>
    <mergeCell ref="J168:L168"/>
    <mergeCell ref="D156:G156"/>
    <mergeCell ref="E158:G158"/>
    <mergeCell ref="J158:L158"/>
    <mergeCell ref="D159:G159"/>
    <mergeCell ref="G161:I161"/>
    <mergeCell ref="E148:G148"/>
    <mergeCell ref="J148:L148"/>
    <mergeCell ref="D149:G149"/>
    <mergeCell ref="G151:I151"/>
    <mergeCell ref="E155:G155"/>
    <mergeCell ref="J155:L155"/>
    <mergeCell ref="D139:G139"/>
    <mergeCell ref="G141:I141"/>
    <mergeCell ref="E145:G145"/>
    <mergeCell ref="J145:L145"/>
    <mergeCell ref="D146:G146"/>
    <mergeCell ref="E135:G135"/>
    <mergeCell ref="J135:L135"/>
    <mergeCell ref="D136:G136"/>
    <mergeCell ref="E138:G138"/>
    <mergeCell ref="J138:L138"/>
    <mergeCell ref="D126:G126"/>
    <mergeCell ref="E128:G128"/>
    <mergeCell ref="J128:L128"/>
    <mergeCell ref="D129:G129"/>
    <mergeCell ref="G131:I131"/>
    <mergeCell ref="E118:G118"/>
    <mergeCell ref="J118:L118"/>
    <mergeCell ref="D119:G119"/>
    <mergeCell ref="G121:I121"/>
    <mergeCell ref="E125:G125"/>
    <mergeCell ref="J125:L125"/>
    <mergeCell ref="D109:G109"/>
    <mergeCell ref="G111:I111"/>
    <mergeCell ref="E115:G115"/>
    <mergeCell ref="J115:L115"/>
    <mergeCell ref="D116:G116"/>
    <mergeCell ref="E105:G105"/>
    <mergeCell ref="J105:L105"/>
    <mergeCell ref="D106:G106"/>
    <mergeCell ref="E108:G108"/>
    <mergeCell ref="J108:L108"/>
  </mergeCells>
  <phoneticPr fontId="8"/>
  <dataValidations count="6">
    <dataValidation type="list" allowBlank="1" showInputMessage="1" showErrorMessage="1" sqref="E105:G105 E115:G115 E125:G125 E135:G135 E145:G145 E155:G155 E165:G165 E175:G175 E185:G185 E195:G195 E205:G205 E215:G215" xr:uid="{00000000-0002-0000-0300-000000000000}">
      <formula1>U93:AU93</formula1>
    </dataValidation>
    <dataValidation type="list" allowBlank="1" showInputMessage="1" showErrorMessage="1" sqref="J105 J108 J115 J118 J125 J128 J135 J138 J145 J148 J155 J158 J165 J168 J175 J178 J185 J188 J195 J198 J205 J208 J215 J218" xr:uid="{00000000-0002-0000-0300-000001000000}">
      <formula1>$C$2:$C$56</formula1>
    </dataValidation>
    <dataValidation type="list" allowBlank="1" showInputMessage="1" showErrorMessage="1" sqref="E108:G108 E118:G118 E128:G128 E138:G138 E148:G148 E158:G158 E168:G168 E178:G178 E188:G188 E198:G198 E208:G208 E218:G218" xr:uid="{00000000-0002-0000-0300-000002000000}">
      <formula1>U105:AU105</formula1>
    </dataValidation>
    <dataValidation type="whole" operator="greaterThanOrEqual" allowBlank="1" showInputMessage="1" showErrorMessage="1" sqref="J106 J109 J116 J119 J126 J129 J136 J139 J146 J149 J156 J159 J166 J169 J176 J179 J186 J189 J196 J199 J206 J209 J216 J219" xr:uid="{00000000-0002-0000-0300-000003000000}">
      <formula1>0</formula1>
    </dataValidation>
    <dataValidation type="list" allowBlank="1" showInputMessage="1" showErrorMessage="1" sqref="D106 D109 D116 D119 D126 D129 D136 D139 D146 D149 D156 D159 D166 D169 D176 D179 D186 D189 D196 D199 D206 D209 D216 D219" xr:uid="{00000000-0002-0000-0300-000004000000}">
      <formula1>$B$4:$B$5</formula1>
    </dataValidation>
    <dataValidation type="whole" allowBlank="1" showInputMessage="1" showErrorMessage="1" sqref="L106 N106 P106 R106 L109 N109 P109 R109 L116 N116 P116 R116 L119 N119 P119 R119 L126 N126 P126 R126 L129 N129 P129 R129 L136 N136 P136 R136 L139 N139 P139 R139 L146 N146 P146 R146 L149 N149 P149 R149 L156 N156 P156 R156 L159 N159 P159 R159 L166 N166 P166 R166 L169 N169 P169 R169 L176 N176 P176 R176 L179 N179 P179 R179 L186 N186 P186 R186 L189 N189 P189 R189 L196 N196 P196 R196 L199 N199 P199 R199 L206 N206 P206 R206 L209 N209 P209 R209 L216 N216 P216 R216 L219 N219 P219 R219" xr:uid="{00000000-0002-0000-0300-000005000000}">
      <formula1>0</formula1>
      <formula2>99</formula2>
    </dataValidation>
  </dataValidations>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6"/>
  <sheetViews>
    <sheetView workbookViewId="0">
      <selection activeCell="B3" sqref="B3"/>
    </sheetView>
  </sheetViews>
  <sheetFormatPr defaultColWidth="9" defaultRowHeight="15.75" x14ac:dyDescent="0.15"/>
  <cols>
    <col min="1" max="1" width="2.25" style="1" customWidth="1"/>
    <col min="2" max="2" width="9.875" style="1" customWidth="1"/>
    <col min="3" max="3" width="11.125" style="1" customWidth="1"/>
    <col min="4" max="4" width="9" style="1"/>
    <col min="5" max="5" width="5.25" style="1" customWidth="1"/>
    <col min="6" max="6" width="7.125" style="1" customWidth="1"/>
    <col min="7" max="7" width="6.375" style="1" customWidth="1"/>
    <col min="8" max="16384" width="9" style="1"/>
  </cols>
  <sheetData>
    <row r="1" spans="1:7" x14ac:dyDescent="0.15">
      <c r="A1" s="2" t="s">
        <v>178</v>
      </c>
    </row>
    <row r="3" spans="1:7" x14ac:dyDescent="0.15">
      <c r="B3" s="2" t="s">
        <v>179</v>
      </c>
      <c r="E3" s="2" t="s">
        <v>180</v>
      </c>
    </row>
    <row r="4" spans="1:7" x14ac:dyDescent="0.15">
      <c r="B4" s="30" t="s">
        <v>113</v>
      </c>
      <c r="C4" s="30" t="s">
        <v>107</v>
      </c>
      <c r="E4" s="13" t="s">
        <v>181</v>
      </c>
      <c r="F4" s="13" t="s">
        <v>108</v>
      </c>
      <c r="G4" s="13" t="s">
        <v>109</v>
      </c>
    </row>
    <row r="5" spans="1:7" x14ac:dyDescent="0.15">
      <c r="B5" s="30" t="s">
        <v>69</v>
      </c>
      <c r="C5" s="31" t="s">
        <v>182</v>
      </c>
      <c r="E5" s="32">
        <v>0</v>
      </c>
      <c r="F5" s="33">
        <v>35</v>
      </c>
      <c r="G5" s="34" t="s">
        <v>183</v>
      </c>
    </row>
    <row r="6" spans="1:7" x14ac:dyDescent="0.15">
      <c r="B6" s="30" t="s">
        <v>158</v>
      </c>
      <c r="C6" s="31" t="s">
        <v>184</v>
      </c>
      <c r="E6" s="32">
        <v>1</v>
      </c>
      <c r="F6" s="33">
        <v>35</v>
      </c>
      <c r="G6" s="34" t="s">
        <v>183</v>
      </c>
    </row>
    <row r="7" spans="1:7" x14ac:dyDescent="0.15">
      <c r="B7" s="30" t="s">
        <v>185</v>
      </c>
      <c r="C7" s="31" t="s">
        <v>186</v>
      </c>
      <c r="E7" s="32">
        <v>2</v>
      </c>
      <c r="F7" s="33">
        <v>25</v>
      </c>
      <c r="G7" s="34" t="s">
        <v>187</v>
      </c>
    </row>
    <row r="8" spans="1:7" x14ac:dyDescent="0.15">
      <c r="B8" s="30" t="s">
        <v>188</v>
      </c>
      <c r="C8" s="31" t="s">
        <v>186</v>
      </c>
      <c r="E8" s="32">
        <v>3</v>
      </c>
      <c r="F8" s="33">
        <v>15</v>
      </c>
      <c r="G8" s="34" t="s">
        <v>189</v>
      </c>
    </row>
    <row r="9" spans="1:7" x14ac:dyDescent="0.15">
      <c r="B9" s="30" t="s">
        <v>136</v>
      </c>
      <c r="C9" s="31" t="s">
        <v>190</v>
      </c>
    </row>
    <row r="10" spans="1:7" x14ac:dyDescent="0.15">
      <c r="B10" s="30" t="s">
        <v>191</v>
      </c>
      <c r="C10" s="31" t="s">
        <v>190</v>
      </c>
      <c r="E10" s="2" t="s">
        <v>192</v>
      </c>
    </row>
    <row r="11" spans="1:7" x14ac:dyDescent="0.15">
      <c r="B11" s="30" t="s">
        <v>79</v>
      </c>
      <c r="C11" s="31" t="s">
        <v>79</v>
      </c>
      <c r="E11" s="2" t="s">
        <v>193</v>
      </c>
    </row>
    <row r="12" spans="1:7" x14ac:dyDescent="0.15">
      <c r="B12" s="30" t="s">
        <v>137</v>
      </c>
      <c r="C12" s="31" t="s">
        <v>184</v>
      </c>
    </row>
    <row r="13" spans="1:7" x14ac:dyDescent="0.15">
      <c r="B13" s="30" t="s">
        <v>194</v>
      </c>
      <c r="C13" s="31" t="s">
        <v>184</v>
      </c>
    </row>
    <row r="14" spans="1:7" x14ac:dyDescent="0.15">
      <c r="B14" s="30" t="s">
        <v>195</v>
      </c>
      <c r="C14" s="31" t="s">
        <v>196</v>
      </c>
    </row>
    <row r="15" spans="1:7" x14ac:dyDescent="0.15">
      <c r="B15" s="30" t="s">
        <v>197</v>
      </c>
      <c r="C15" s="31" t="s">
        <v>79</v>
      </c>
    </row>
    <row r="16" spans="1:7" x14ac:dyDescent="0.15">
      <c r="B16" s="30" t="s">
        <v>198</v>
      </c>
      <c r="C16" s="31" t="s">
        <v>199</v>
      </c>
    </row>
  </sheetData>
  <sheetProtection sheet="1" objects="1"/>
  <phoneticPr fontId="8"/>
  <pageMargins left="0.69930555555555596" right="0.69930555555555596"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9"/>
  <sheetViews>
    <sheetView workbookViewId="0">
      <selection activeCell="B3" sqref="B3"/>
    </sheetView>
  </sheetViews>
  <sheetFormatPr defaultColWidth="9" defaultRowHeight="15.75" x14ac:dyDescent="0.15"/>
  <cols>
    <col min="1" max="1" width="2.25" style="1" customWidth="1"/>
    <col min="2" max="2" width="15.375" style="1" customWidth="1"/>
    <col min="3" max="3" width="7" style="1" customWidth="1"/>
    <col min="4" max="4" width="9" style="1" customWidth="1"/>
    <col min="5" max="16384" width="9" style="1"/>
  </cols>
  <sheetData>
    <row r="1" spans="1:4" x14ac:dyDescent="0.15">
      <c r="A1" s="2" t="s">
        <v>200</v>
      </c>
    </row>
    <row r="3" spans="1:4" x14ac:dyDescent="0.15">
      <c r="B3" s="2" t="s">
        <v>201</v>
      </c>
    </row>
    <row r="4" spans="1:4" ht="13.5" customHeight="1" x14ac:dyDescent="0.15">
      <c r="B4" s="26" t="s">
        <v>115</v>
      </c>
      <c r="C4" s="26" t="s">
        <v>202</v>
      </c>
      <c r="D4" s="27" t="s">
        <v>203</v>
      </c>
    </row>
    <row r="5" spans="1:4" x14ac:dyDescent="0.15">
      <c r="B5" s="27" t="s">
        <v>148</v>
      </c>
      <c r="C5" s="28" t="s">
        <v>204</v>
      </c>
      <c r="D5" s="29">
        <v>0</v>
      </c>
    </row>
    <row r="6" spans="1:4" x14ac:dyDescent="0.15">
      <c r="B6" s="27" t="s">
        <v>205</v>
      </c>
      <c r="C6" s="28" t="s">
        <v>204</v>
      </c>
      <c r="D6" s="29">
        <v>1</v>
      </c>
    </row>
    <row r="7" spans="1:4" x14ac:dyDescent="0.15">
      <c r="B7" s="27" t="s">
        <v>206</v>
      </c>
      <c r="C7" s="28" t="s">
        <v>204</v>
      </c>
      <c r="D7" s="29">
        <v>2</v>
      </c>
    </row>
    <row r="8" spans="1:4" x14ac:dyDescent="0.15">
      <c r="B8" s="27" t="s">
        <v>207</v>
      </c>
      <c r="C8" s="28" t="s">
        <v>204</v>
      </c>
      <c r="D8" s="29">
        <v>3</v>
      </c>
    </row>
    <row r="9" spans="1:4" x14ac:dyDescent="0.15">
      <c r="B9" s="27" t="s">
        <v>116</v>
      </c>
      <c r="C9" s="28" t="s">
        <v>204</v>
      </c>
      <c r="D9" s="29">
        <v>4</v>
      </c>
    </row>
    <row r="10" spans="1:4" x14ac:dyDescent="0.15">
      <c r="B10" s="27" t="s">
        <v>208</v>
      </c>
      <c r="C10" s="28" t="s">
        <v>204</v>
      </c>
      <c r="D10" s="29">
        <v>5</v>
      </c>
    </row>
    <row r="11" spans="1:4" x14ac:dyDescent="0.15">
      <c r="B11" s="27" t="s">
        <v>209</v>
      </c>
      <c r="C11" s="28" t="s">
        <v>204</v>
      </c>
      <c r="D11" s="29">
        <v>6</v>
      </c>
    </row>
    <row r="12" spans="1:4" x14ac:dyDescent="0.15">
      <c r="B12" s="27" t="s">
        <v>210</v>
      </c>
      <c r="C12" s="28" t="s">
        <v>204</v>
      </c>
      <c r="D12" s="29">
        <v>7</v>
      </c>
    </row>
    <row r="13" spans="1:4" x14ac:dyDescent="0.15">
      <c r="B13" s="27" t="s">
        <v>211</v>
      </c>
      <c r="C13" s="28" t="s">
        <v>204</v>
      </c>
      <c r="D13" s="29">
        <v>8</v>
      </c>
    </row>
    <row r="14" spans="1:4" x14ac:dyDescent="0.15">
      <c r="B14" s="27" t="s">
        <v>212</v>
      </c>
      <c r="C14" s="28" t="s">
        <v>204</v>
      </c>
      <c r="D14" s="29">
        <v>9</v>
      </c>
    </row>
    <row r="15" spans="1:4" x14ac:dyDescent="0.15">
      <c r="B15" s="27" t="s">
        <v>213</v>
      </c>
      <c r="C15" s="28" t="s">
        <v>204</v>
      </c>
      <c r="D15" s="29">
        <v>4</v>
      </c>
    </row>
    <row r="16" spans="1:4" x14ac:dyDescent="0.15">
      <c r="B16" s="27" t="s">
        <v>214</v>
      </c>
      <c r="C16" s="28" t="s">
        <v>215</v>
      </c>
      <c r="D16" s="29">
        <v>5</v>
      </c>
    </row>
    <row r="17" spans="2:4" x14ac:dyDescent="0.15">
      <c r="B17" s="27" t="s">
        <v>216</v>
      </c>
      <c r="C17" s="28" t="s">
        <v>215</v>
      </c>
      <c r="D17" s="29">
        <v>6</v>
      </c>
    </row>
    <row r="18" spans="2:4" x14ac:dyDescent="0.15">
      <c r="B18" s="27" t="s">
        <v>217</v>
      </c>
      <c r="C18" s="28" t="s">
        <v>215</v>
      </c>
      <c r="D18" s="29">
        <v>7</v>
      </c>
    </row>
    <row r="19" spans="2:4" x14ac:dyDescent="0.15">
      <c r="B19" s="27" t="s">
        <v>218</v>
      </c>
      <c r="C19" s="28" t="s">
        <v>215</v>
      </c>
      <c r="D19" s="29">
        <v>8</v>
      </c>
    </row>
    <row r="20" spans="2:4" x14ac:dyDescent="0.15">
      <c r="B20" s="27" t="s">
        <v>219</v>
      </c>
      <c r="C20" s="28" t="s">
        <v>215</v>
      </c>
      <c r="D20" s="29">
        <v>9</v>
      </c>
    </row>
    <row r="21" spans="2:4" x14ac:dyDescent="0.15">
      <c r="B21" s="27" t="s">
        <v>220</v>
      </c>
      <c r="C21" s="28" t="s">
        <v>215</v>
      </c>
      <c r="D21" s="29">
        <v>10</v>
      </c>
    </row>
    <row r="22" spans="2:4" x14ac:dyDescent="0.15">
      <c r="B22" s="27" t="s">
        <v>221</v>
      </c>
      <c r="C22" s="28" t="s">
        <v>215</v>
      </c>
      <c r="D22" s="29">
        <v>0</v>
      </c>
    </row>
    <row r="23" spans="2:4" x14ac:dyDescent="0.15">
      <c r="B23" s="27" t="s">
        <v>222</v>
      </c>
      <c r="C23" s="28" t="s">
        <v>215</v>
      </c>
      <c r="D23" s="29">
        <v>1</v>
      </c>
    </row>
    <row r="24" spans="2:4" x14ac:dyDescent="0.15">
      <c r="B24" s="27" t="s">
        <v>223</v>
      </c>
      <c r="C24" s="28" t="s">
        <v>224</v>
      </c>
      <c r="D24" s="29">
        <v>2</v>
      </c>
    </row>
    <row r="25" spans="2:4" x14ac:dyDescent="0.15">
      <c r="B25" s="27" t="s">
        <v>225</v>
      </c>
      <c r="C25" s="28" t="s">
        <v>224</v>
      </c>
      <c r="D25" s="29">
        <v>3</v>
      </c>
    </row>
    <row r="26" spans="2:4" x14ac:dyDescent="0.15">
      <c r="B26" s="27" t="s">
        <v>226</v>
      </c>
      <c r="C26" s="28" t="s">
        <v>224</v>
      </c>
      <c r="D26" s="29">
        <v>4</v>
      </c>
    </row>
    <row r="27" spans="2:4" x14ac:dyDescent="0.15">
      <c r="B27" s="27" t="s">
        <v>227</v>
      </c>
      <c r="C27" s="28" t="s">
        <v>224</v>
      </c>
      <c r="D27" s="29">
        <v>5</v>
      </c>
    </row>
    <row r="28" spans="2:4" x14ac:dyDescent="0.15">
      <c r="B28" s="27" t="s">
        <v>228</v>
      </c>
      <c r="C28" s="28" t="s">
        <v>229</v>
      </c>
      <c r="D28" s="29">
        <v>6</v>
      </c>
    </row>
    <row r="29" spans="2:4" x14ac:dyDescent="0.15">
      <c r="B29" s="27" t="s">
        <v>125</v>
      </c>
      <c r="C29" s="28" t="s">
        <v>229</v>
      </c>
      <c r="D29" s="29">
        <v>7</v>
      </c>
    </row>
    <row r="30" spans="2:4" x14ac:dyDescent="0.15">
      <c r="B30" s="27" t="s">
        <v>230</v>
      </c>
      <c r="C30" s="28" t="s">
        <v>229</v>
      </c>
      <c r="D30" s="29">
        <v>8</v>
      </c>
    </row>
    <row r="31" spans="2:4" x14ac:dyDescent="0.15">
      <c r="B31" s="27" t="s">
        <v>231</v>
      </c>
      <c r="C31" s="28" t="s">
        <v>229</v>
      </c>
      <c r="D31" s="29">
        <v>9</v>
      </c>
    </row>
    <row r="32" spans="2:4" x14ac:dyDescent="0.15">
      <c r="B32" s="27" t="s">
        <v>232</v>
      </c>
      <c r="C32" s="28" t="s">
        <v>233</v>
      </c>
      <c r="D32" s="29">
        <v>10</v>
      </c>
    </row>
    <row r="33" spans="2:4" x14ac:dyDescent="0.15">
      <c r="B33" s="27" t="s">
        <v>234</v>
      </c>
      <c r="C33" s="28" t="s">
        <v>233</v>
      </c>
      <c r="D33" s="29">
        <v>0</v>
      </c>
    </row>
    <row r="34" spans="2:4" x14ac:dyDescent="0.15">
      <c r="B34" s="27" t="s">
        <v>235</v>
      </c>
      <c r="C34" s="28" t="s">
        <v>233</v>
      </c>
      <c r="D34" s="29">
        <v>1</v>
      </c>
    </row>
    <row r="35" spans="2:4" x14ac:dyDescent="0.15">
      <c r="B35" s="27" t="s">
        <v>236</v>
      </c>
      <c r="C35" s="28" t="s">
        <v>233</v>
      </c>
      <c r="D35" s="29">
        <v>2</v>
      </c>
    </row>
    <row r="36" spans="2:4" x14ac:dyDescent="0.15">
      <c r="B36" s="27" t="s">
        <v>237</v>
      </c>
      <c r="C36" s="28" t="s">
        <v>238</v>
      </c>
      <c r="D36" s="29">
        <v>3</v>
      </c>
    </row>
    <row r="37" spans="2:4" x14ac:dyDescent="0.15">
      <c r="B37" s="27" t="s">
        <v>239</v>
      </c>
      <c r="C37" s="28" t="s">
        <v>238</v>
      </c>
      <c r="D37" s="29">
        <v>4</v>
      </c>
    </row>
    <row r="38" spans="2:4" x14ac:dyDescent="0.15">
      <c r="B38" s="27" t="s">
        <v>240</v>
      </c>
      <c r="C38" s="28" t="s">
        <v>238</v>
      </c>
      <c r="D38" s="29">
        <v>5</v>
      </c>
    </row>
    <row r="39" spans="2:4" x14ac:dyDescent="0.15">
      <c r="B39" s="27" t="s">
        <v>142</v>
      </c>
      <c r="C39" s="28" t="s">
        <v>238</v>
      </c>
      <c r="D39" s="29">
        <v>6</v>
      </c>
    </row>
    <row r="40" spans="2:4" x14ac:dyDescent="0.15">
      <c r="B40" s="27" t="s">
        <v>241</v>
      </c>
      <c r="C40" s="28" t="s">
        <v>242</v>
      </c>
      <c r="D40" s="29">
        <v>7</v>
      </c>
    </row>
    <row r="41" spans="2:4" x14ac:dyDescent="0.15">
      <c r="B41" s="27" t="s">
        <v>243</v>
      </c>
      <c r="C41" s="28" t="s">
        <v>242</v>
      </c>
      <c r="D41" s="29">
        <v>8</v>
      </c>
    </row>
    <row r="42" spans="2:4" x14ac:dyDescent="0.15">
      <c r="B42" s="27" t="s">
        <v>244</v>
      </c>
      <c r="C42" s="28" t="s">
        <v>242</v>
      </c>
      <c r="D42" s="29">
        <v>9</v>
      </c>
    </row>
    <row r="43" spans="2:4" x14ac:dyDescent="0.15">
      <c r="B43" s="27" t="s">
        <v>245</v>
      </c>
      <c r="C43" s="28" t="s">
        <v>242</v>
      </c>
      <c r="D43" s="29">
        <v>10</v>
      </c>
    </row>
    <row r="44" spans="2:4" x14ac:dyDescent="0.15">
      <c r="B44" s="27" t="s">
        <v>246</v>
      </c>
      <c r="C44" s="28" t="s">
        <v>247</v>
      </c>
      <c r="D44" s="29">
        <v>0</v>
      </c>
    </row>
    <row r="45" spans="2:4" x14ac:dyDescent="0.15">
      <c r="B45" s="27" t="s">
        <v>248</v>
      </c>
      <c r="C45" s="28" t="s">
        <v>247</v>
      </c>
      <c r="D45" s="29">
        <v>1</v>
      </c>
    </row>
    <row r="46" spans="2:4" x14ac:dyDescent="0.15">
      <c r="B46" s="27" t="s">
        <v>249</v>
      </c>
      <c r="C46" s="28" t="s">
        <v>247</v>
      </c>
      <c r="D46" s="29">
        <v>2</v>
      </c>
    </row>
    <row r="47" spans="2:4" x14ac:dyDescent="0.15">
      <c r="B47" s="27" t="s">
        <v>250</v>
      </c>
      <c r="C47" s="28" t="s">
        <v>247</v>
      </c>
      <c r="D47" s="29">
        <v>3</v>
      </c>
    </row>
    <row r="48" spans="2:4" x14ac:dyDescent="0.15">
      <c r="B48" s="27" t="s">
        <v>251</v>
      </c>
      <c r="C48" s="28" t="s">
        <v>247</v>
      </c>
      <c r="D48" s="29">
        <v>4</v>
      </c>
    </row>
    <row r="49" spans="2:4" x14ac:dyDescent="0.15">
      <c r="B49" s="27" t="s">
        <v>252</v>
      </c>
      <c r="C49" s="28" t="s">
        <v>247</v>
      </c>
      <c r="D49" s="29">
        <v>5</v>
      </c>
    </row>
    <row r="50" spans="2:4" x14ac:dyDescent="0.15">
      <c r="B50" s="27" t="s">
        <v>253</v>
      </c>
      <c r="C50" s="28" t="s">
        <v>247</v>
      </c>
      <c r="D50" s="29">
        <v>6</v>
      </c>
    </row>
    <row r="51" spans="2:4" x14ac:dyDescent="0.15">
      <c r="B51" s="27" t="s">
        <v>254</v>
      </c>
      <c r="C51" s="28" t="s">
        <v>247</v>
      </c>
      <c r="D51" s="29">
        <v>7</v>
      </c>
    </row>
    <row r="52" spans="2:4" x14ac:dyDescent="0.15">
      <c r="B52" s="27" t="s">
        <v>255</v>
      </c>
      <c r="C52" s="28" t="s">
        <v>256</v>
      </c>
      <c r="D52" s="29">
        <v>8</v>
      </c>
    </row>
    <row r="53" spans="2:4" x14ac:dyDescent="0.15">
      <c r="B53" s="27" t="s">
        <v>257</v>
      </c>
      <c r="C53" s="28" t="s">
        <v>256</v>
      </c>
      <c r="D53" s="29">
        <v>9</v>
      </c>
    </row>
    <row r="54" spans="2:4" x14ac:dyDescent="0.15">
      <c r="B54" s="27" t="s">
        <v>258</v>
      </c>
      <c r="C54" s="28" t="s">
        <v>256</v>
      </c>
      <c r="D54" s="29">
        <v>10</v>
      </c>
    </row>
    <row r="55" spans="2:4" x14ac:dyDescent="0.15">
      <c r="B55" s="27" t="s">
        <v>259</v>
      </c>
      <c r="C55" s="28" t="s">
        <v>256</v>
      </c>
      <c r="D55" s="29">
        <v>0</v>
      </c>
    </row>
    <row r="56" spans="2:4" x14ac:dyDescent="0.15">
      <c r="B56" s="27" t="s">
        <v>260</v>
      </c>
      <c r="C56" s="28" t="s">
        <v>256</v>
      </c>
      <c r="D56" s="29">
        <v>1</v>
      </c>
    </row>
    <row r="57" spans="2:4" x14ac:dyDescent="0.15">
      <c r="B57" s="27" t="s">
        <v>261</v>
      </c>
      <c r="C57" s="28" t="s">
        <v>256</v>
      </c>
      <c r="D57" s="29">
        <v>6</v>
      </c>
    </row>
    <row r="58" spans="2:4" x14ac:dyDescent="0.15">
      <c r="B58" s="27" t="s">
        <v>262</v>
      </c>
      <c r="C58" s="28" t="s">
        <v>256</v>
      </c>
      <c r="D58" s="29">
        <v>7</v>
      </c>
    </row>
    <row r="59" spans="2:4" x14ac:dyDescent="0.15">
      <c r="B59" s="27" t="s">
        <v>263</v>
      </c>
      <c r="C59" s="28" t="s">
        <v>256</v>
      </c>
      <c r="D59" s="29">
        <v>8</v>
      </c>
    </row>
  </sheetData>
  <sheetProtection sheet="1" objects="1"/>
  <phoneticPr fontId="8"/>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6"/>
  <sheetViews>
    <sheetView workbookViewId="0">
      <selection activeCell="C3" sqref="C3"/>
    </sheetView>
  </sheetViews>
  <sheetFormatPr defaultColWidth="9" defaultRowHeight="15.75" x14ac:dyDescent="0.15"/>
  <cols>
    <col min="1" max="1" width="2.25" style="1" customWidth="1"/>
    <col min="2" max="2" width="5.25" style="1" customWidth="1"/>
    <col min="3" max="4" width="9" style="1"/>
    <col min="5" max="5" width="5.25" style="1" customWidth="1"/>
    <col min="6" max="16384" width="9" style="1"/>
  </cols>
  <sheetData>
    <row r="1" spans="1:6" x14ac:dyDescent="0.15">
      <c r="A1" s="2" t="s">
        <v>264</v>
      </c>
    </row>
    <row r="3" spans="1:6" x14ac:dyDescent="0.15">
      <c r="B3" s="2" t="s">
        <v>265</v>
      </c>
    </row>
    <row r="4" spans="1:6" ht="13.5" customHeight="1" x14ac:dyDescent="0.15">
      <c r="B4" s="18" t="s">
        <v>85</v>
      </c>
      <c r="C4" s="19" t="s">
        <v>266</v>
      </c>
      <c r="E4" s="18" t="s">
        <v>85</v>
      </c>
      <c r="F4" s="19" t="s">
        <v>266</v>
      </c>
    </row>
    <row r="5" spans="1:6" x14ac:dyDescent="0.15">
      <c r="B5" s="20">
        <v>0</v>
      </c>
      <c r="C5" s="21" t="s">
        <v>267</v>
      </c>
      <c r="E5" s="20">
        <v>11</v>
      </c>
      <c r="F5" s="21" t="s">
        <v>267</v>
      </c>
    </row>
    <row r="6" spans="1:6" x14ac:dyDescent="0.15">
      <c r="B6" s="22"/>
      <c r="C6" s="23" t="s">
        <v>268</v>
      </c>
      <c r="E6" s="22"/>
      <c r="F6" s="23" t="s">
        <v>268</v>
      </c>
    </row>
    <row r="7" spans="1:6" x14ac:dyDescent="0.15">
      <c r="B7" s="20">
        <v>1</v>
      </c>
      <c r="C7" s="21" t="s">
        <v>267</v>
      </c>
      <c r="E7" s="20">
        <v>12</v>
      </c>
      <c r="F7" s="21" t="s">
        <v>267</v>
      </c>
    </row>
    <row r="8" spans="1:6" x14ac:dyDescent="0.15">
      <c r="B8" s="22"/>
      <c r="C8" s="23" t="s">
        <v>269</v>
      </c>
      <c r="E8" s="22"/>
      <c r="F8" s="23" t="s">
        <v>269</v>
      </c>
    </row>
    <row r="9" spans="1:6" x14ac:dyDescent="0.15">
      <c r="B9" s="20">
        <v>2</v>
      </c>
      <c r="C9" s="21" t="s">
        <v>267</v>
      </c>
      <c r="E9" s="20">
        <v>13</v>
      </c>
      <c r="F9" s="21" t="s">
        <v>267</v>
      </c>
    </row>
    <row r="10" spans="1:6" x14ac:dyDescent="0.15">
      <c r="B10" s="22"/>
      <c r="C10" s="23" t="s">
        <v>270</v>
      </c>
      <c r="E10" s="22"/>
      <c r="F10" s="23" t="s">
        <v>270</v>
      </c>
    </row>
    <row r="11" spans="1:6" x14ac:dyDescent="0.15">
      <c r="B11" s="20">
        <v>3</v>
      </c>
      <c r="C11" s="21" t="s">
        <v>268</v>
      </c>
      <c r="E11" s="20">
        <v>14</v>
      </c>
      <c r="F11" s="21" t="s">
        <v>268</v>
      </c>
    </row>
    <row r="12" spans="1:6" x14ac:dyDescent="0.15">
      <c r="B12" s="22"/>
      <c r="C12" s="23" t="s">
        <v>269</v>
      </c>
      <c r="E12" s="22"/>
      <c r="F12" s="23" t="s">
        <v>269</v>
      </c>
    </row>
    <row r="13" spans="1:6" x14ac:dyDescent="0.15">
      <c r="B13" s="20">
        <v>4</v>
      </c>
      <c r="C13" s="21" t="s">
        <v>267</v>
      </c>
      <c r="E13" s="20">
        <v>15</v>
      </c>
      <c r="F13" s="21" t="s">
        <v>267</v>
      </c>
    </row>
    <row r="14" spans="1:6" x14ac:dyDescent="0.15">
      <c r="B14" s="22"/>
      <c r="C14" s="23" t="s">
        <v>271</v>
      </c>
      <c r="E14" s="22"/>
      <c r="F14" s="23" t="s">
        <v>271</v>
      </c>
    </row>
    <row r="15" spans="1:6" x14ac:dyDescent="0.15">
      <c r="B15" s="20">
        <v>5</v>
      </c>
      <c r="C15" s="21" t="s">
        <v>272</v>
      </c>
      <c r="E15" s="20">
        <v>16</v>
      </c>
      <c r="F15" s="21" t="s">
        <v>272</v>
      </c>
    </row>
    <row r="16" spans="1:6" x14ac:dyDescent="0.15">
      <c r="B16" s="22"/>
      <c r="C16" s="23" t="s">
        <v>270</v>
      </c>
      <c r="E16" s="22"/>
      <c r="F16" s="23" t="s">
        <v>270</v>
      </c>
    </row>
    <row r="17" spans="2:6" x14ac:dyDescent="0.15">
      <c r="B17" s="20">
        <v>6</v>
      </c>
      <c r="C17" s="21" t="s">
        <v>268</v>
      </c>
      <c r="E17" s="20">
        <v>17</v>
      </c>
      <c r="F17" s="21" t="s">
        <v>268</v>
      </c>
    </row>
    <row r="18" spans="2:6" x14ac:dyDescent="0.15">
      <c r="B18" s="22"/>
      <c r="C18" s="23" t="s">
        <v>270</v>
      </c>
      <c r="E18" s="22"/>
      <c r="F18" s="23" t="s">
        <v>270</v>
      </c>
    </row>
    <row r="19" spans="2:6" x14ac:dyDescent="0.15">
      <c r="B19" s="20">
        <v>7</v>
      </c>
      <c r="C19" s="21" t="s">
        <v>273</v>
      </c>
      <c r="E19" s="20">
        <v>18</v>
      </c>
      <c r="F19" s="21" t="s">
        <v>273</v>
      </c>
    </row>
    <row r="20" spans="2:6" x14ac:dyDescent="0.15">
      <c r="B20" s="22"/>
      <c r="C20" s="23" t="s">
        <v>270</v>
      </c>
      <c r="E20" s="22"/>
      <c r="F20" s="23" t="s">
        <v>270</v>
      </c>
    </row>
    <row r="21" spans="2:6" x14ac:dyDescent="0.15">
      <c r="B21" s="20">
        <v>8</v>
      </c>
      <c r="C21" s="21" t="s">
        <v>269</v>
      </c>
      <c r="E21" s="20">
        <v>19</v>
      </c>
      <c r="F21" s="21" t="s">
        <v>269</v>
      </c>
    </row>
    <row r="22" spans="2:6" x14ac:dyDescent="0.15">
      <c r="B22" s="22"/>
      <c r="C22" s="23" t="s">
        <v>274</v>
      </c>
      <c r="E22" s="22"/>
      <c r="F22" s="23" t="s">
        <v>274</v>
      </c>
    </row>
    <row r="23" spans="2:6" x14ac:dyDescent="0.15">
      <c r="B23" s="20">
        <v>9</v>
      </c>
      <c r="C23" s="21" t="s">
        <v>274</v>
      </c>
      <c r="E23" s="20">
        <v>20</v>
      </c>
      <c r="F23" s="21" t="s">
        <v>274</v>
      </c>
    </row>
    <row r="24" spans="2:6" x14ac:dyDescent="0.15">
      <c r="B24" s="22"/>
      <c r="C24" s="23" t="s">
        <v>269</v>
      </c>
      <c r="E24" s="22"/>
      <c r="F24" s="23" t="s">
        <v>269</v>
      </c>
    </row>
    <row r="25" spans="2:6" x14ac:dyDescent="0.15">
      <c r="B25" s="24">
        <v>10</v>
      </c>
      <c r="C25" s="25" t="s">
        <v>274</v>
      </c>
    </row>
    <row r="26" spans="2:6" x14ac:dyDescent="0.15">
      <c r="B26" s="22"/>
      <c r="C26" s="23" t="s">
        <v>274</v>
      </c>
    </row>
  </sheetData>
  <sheetProtection sheet="1" objects="1"/>
  <phoneticPr fontId="8"/>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56"/>
  <sheetViews>
    <sheetView workbookViewId="0">
      <selection activeCell="B3" sqref="B3"/>
    </sheetView>
  </sheetViews>
  <sheetFormatPr defaultColWidth="9" defaultRowHeight="15.75" x14ac:dyDescent="0.15"/>
  <cols>
    <col min="1" max="1" width="2.25" style="1" customWidth="1"/>
    <col min="2" max="2" width="15.375" style="1" customWidth="1"/>
    <col min="3" max="3" width="11.125" style="1" customWidth="1"/>
    <col min="4" max="4" width="9" style="1" customWidth="1"/>
    <col min="5" max="16384" width="9" style="1"/>
  </cols>
  <sheetData>
    <row r="1" spans="1:4" x14ac:dyDescent="0.15">
      <c r="A1" s="2" t="s">
        <v>275</v>
      </c>
    </row>
    <row r="3" spans="1:4" x14ac:dyDescent="0.15">
      <c r="B3" s="2" t="s">
        <v>276</v>
      </c>
    </row>
    <row r="4" spans="1:4" x14ac:dyDescent="0.15">
      <c r="B4" s="11" t="s">
        <v>133</v>
      </c>
      <c r="C4" s="11" t="s">
        <v>77</v>
      </c>
      <c r="D4" s="11" t="s">
        <v>127</v>
      </c>
    </row>
    <row r="5" spans="1:4" x14ac:dyDescent="0.15">
      <c r="B5" s="12" t="s">
        <v>277</v>
      </c>
      <c r="C5" s="13" t="s">
        <v>184</v>
      </c>
      <c r="D5" s="13" t="s">
        <v>278</v>
      </c>
    </row>
    <row r="6" spans="1:4" x14ac:dyDescent="0.15">
      <c r="B6" s="12" t="s">
        <v>279</v>
      </c>
      <c r="C6" s="13" t="s">
        <v>184</v>
      </c>
      <c r="D6" s="13" t="s">
        <v>278</v>
      </c>
    </row>
    <row r="7" spans="1:4" x14ac:dyDescent="0.15">
      <c r="B7" s="12" t="s">
        <v>280</v>
      </c>
      <c r="C7" s="13" t="s">
        <v>184</v>
      </c>
      <c r="D7" s="13" t="s">
        <v>281</v>
      </c>
    </row>
    <row r="8" spans="1:4" x14ac:dyDescent="0.15">
      <c r="B8" s="12" t="s">
        <v>186</v>
      </c>
      <c r="C8" s="13" t="s">
        <v>186</v>
      </c>
      <c r="D8" s="13" t="s">
        <v>278</v>
      </c>
    </row>
    <row r="9" spans="1:4" x14ac:dyDescent="0.15">
      <c r="B9" s="12" t="s">
        <v>282</v>
      </c>
      <c r="C9" s="13" t="s">
        <v>186</v>
      </c>
      <c r="D9" s="13" t="s">
        <v>278</v>
      </c>
    </row>
    <row r="10" spans="1:4" x14ac:dyDescent="0.15">
      <c r="B10" s="12" t="s">
        <v>283</v>
      </c>
      <c r="C10" s="13" t="s">
        <v>186</v>
      </c>
      <c r="D10" s="13" t="s">
        <v>281</v>
      </c>
    </row>
    <row r="11" spans="1:4" x14ac:dyDescent="0.15">
      <c r="B11" s="12" t="s">
        <v>190</v>
      </c>
      <c r="C11" s="13" t="s">
        <v>190</v>
      </c>
      <c r="D11" s="13" t="s">
        <v>278</v>
      </c>
    </row>
    <row r="12" spans="1:4" x14ac:dyDescent="0.15">
      <c r="B12" s="12" t="s">
        <v>284</v>
      </c>
      <c r="C12" s="13" t="s">
        <v>190</v>
      </c>
      <c r="D12" s="13" t="s">
        <v>281</v>
      </c>
    </row>
    <row r="13" spans="1:4" x14ac:dyDescent="0.15">
      <c r="B13" s="12" t="s">
        <v>285</v>
      </c>
      <c r="C13" s="13" t="s">
        <v>190</v>
      </c>
      <c r="D13" s="13" t="s">
        <v>278</v>
      </c>
    </row>
    <row r="14" spans="1:4" x14ac:dyDescent="0.15">
      <c r="B14" s="12" t="s">
        <v>286</v>
      </c>
      <c r="C14" s="13" t="s">
        <v>79</v>
      </c>
      <c r="D14" s="13" t="s">
        <v>278</v>
      </c>
    </row>
    <row r="15" spans="1:4" x14ac:dyDescent="0.15">
      <c r="B15" s="12" t="s">
        <v>287</v>
      </c>
      <c r="C15" s="13" t="s">
        <v>79</v>
      </c>
      <c r="D15" s="13" t="s">
        <v>278</v>
      </c>
    </row>
    <row r="16" spans="1:4" x14ac:dyDescent="0.15">
      <c r="B16" s="12" t="s">
        <v>288</v>
      </c>
      <c r="C16" s="13" t="s">
        <v>79</v>
      </c>
      <c r="D16" s="13" t="s">
        <v>278</v>
      </c>
    </row>
    <row r="17" spans="2:4" x14ac:dyDescent="0.15">
      <c r="B17" s="12" t="s">
        <v>289</v>
      </c>
      <c r="C17" s="13" t="s">
        <v>79</v>
      </c>
      <c r="D17" s="13" t="s">
        <v>281</v>
      </c>
    </row>
    <row r="18" spans="2:4" x14ac:dyDescent="0.15">
      <c r="B18" s="12" t="s">
        <v>290</v>
      </c>
      <c r="C18" s="13" t="s">
        <v>196</v>
      </c>
      <c r="D18" s="13" t="s">
        <v>278</v>
      </c>
    </row>
    <row r="19" spans="2:4" x14ac:dyDescent="0.15">
      <c r="B19" s="12" t="s">
        <v>291</v>
      </c>
      <c r="C19" s="13" t="s">
        <v>196</v>
      </c>
      <c r="D19" s="13" t="s">
        <v>278</v>
      </c>
    </row>
    <row r="20" spans="2:4" x14ac:dyDescent="0.15">
      <c r="B20" s="12" t="s">
        <v>292</v>
      </c>
      <c r="C20" s="13" t="s">
        <v>196</v>
      </c>
      <c r="D20" s="13" t="s">
        <v>281</v>
      </c>
    </row>
    <row r="21" spans="2:4" x14ac:dyDescent="0.15">
      <c r="B21" s="12" t="s">
        <v>199</v>
      </c>
      <c r="C21" s="13" t="s">
        <v>199</v>
      </c>
      <c r="D21" s="13" t="s">
        <v>278</v>
      </c>
    </row>
    <row r="22" spans="2:4" x14ac:dyDescent="0.15">
      <c r="B22" s="12" t="s">
        <v>293</v>
      </c>
      <c r="C22" s="13" t="s">
        <v>199</v>
      </c>
      <c r="D22" s="13" t="s">
        <v>278</v>
      </c>
    </row>
    <row r="23" spans="2:4" x14ac:dyDescent="0.15">
      <c r="B23" s="12" t="s">
        <v>294</v>
      </c>
      <c r="C23" s="13" t="s">
        <v>199</v>
      </c>
      <c r="D23" s="13" t="s">
        <v>281</v>
      </c>
    </row>
    <row r="24" spans="2:4" x14ac:dyDescent="0.15">
      <c r="B24" s="14" t="s">
        <v>295</v>
      </c>
      <c r="C24" s="15" t="s">
        <v>296</v>
      </c>
      <c r="D24" s="15" t="s">
        <v>91</v>
      </c>
    </row>
    <row r="25" spans="2:4" x14ac:dyDescent="0.15">
      <c r="B25" s="14" t="s">
        <v>297</v>
      </c>
      <c r="C25" s="15" t="s">
        <v>296</v>
      </c>
      <c r="D25" s="15" t="s">
        <v>91</v>
      </c>
    </row>
    <row r="26" spans="2:4" x14ac:dyDescent="0.15">
      <c r="B26" s="14" t="s">
        <v>298</v>
      </c>
      <c r="C26" s="15" t="s">
        <v>296</v>
      </c>
      <c r="D26" s="15" t="s">
        <v>91</v>
      </c>
    </row>
    <row r="27" spans="2:4" x14ac:dyDescent="0.15">
      <c r="B27" s="14" t="s">
        <v>299</v>
      </c>
      <c r="C27" s="15" t="s">
        <v>296</v>
      </c>
      <c r="D27" s="15" t="s">
        <v>281</v>
      </c>
    </row>
    <row r="28" spans="2:4" x14ac:dyDescent="0.15">
      <c r="B28" s="14" t="s">
        <v>300</v>
      </c>
      <c r="C28" s="15" t="s">
        <v>296</v>
      </c>
      <c r="D28" s="15" t="s">
        <v>278</v>
      </c>
    </row>
    <row r="29" spans="2:4" x14ac:dyDescent="0.15">
      <c r="B29" s="14" t="s">
        <v>301</v>
      </c>
      <c r="C29" s="15" t="s">
        <v>296</v>
      </c>
      <c r="D29" s="15" t="s">
        <v>278</v>
      </c>
    </row>
    <row r="30" spans="2:4" x14ac:dyDescent="0.15">
      <c r="B30" s="16" t="s">
        <v>302</v>
      </c>
      <c r="C30" s="17" t="s">
        <v>303</v>
      </c>
      <c r="D30" s="17" t="s">
        <v>91</v>
      </c>
    </row>
    <row r="31" spans="2:4" x14ac:dyDescent="0.15">
      <c r="B31" s="16" t="s">
        <v>304</v>
      </c>
      <c r="C31" s="17" t="s">
        <v>303</v>
      </c>
      <c r="D31" s="17" t="s">
        <v>91</v>
      </c>
    </row>
    <row r="32" spans="2:4" x14ac:dyDescent="0.15">
      <c r="B32" s="16" t="s">
        <v>305</v>
      </c>
      <c r="C32" s="17" t="s">
        <v>303</v>
      </c>
      <c r="D32" s="17" t="s">
        <v>91</v>
      </c>
    </row>
    <row r="33" spans="2:4" x14ac:dyDescent="0.15">
      <c r="B33" s="16" t="s">
        <v>306</v>
      </c>
      <c r="C33" s="17" t="s">
        <v>303</v>
      </c>
      <c r="D33" s="17" t="s">
        <v>91</v>
      </c>
    </row>
    <row r="34" spans="2:4" x14ac:dyDescent="0.15">
      <c r="B34" s="16" t="s">
        <v>307</v>
      </c>
      <c r="C34" s="17" t="s">
        <v>303</v>
      </c>
      <c r="D34" s="17" t="s">
        <v>281</v>
      </c>
    </row>
    <row r="35" spans="2:4" x14ac:dyDescent="0.15">
      <c r="B35" s="16" t="s">
        <v>308</v>
      </c>
      <c r="C35" s="17" t="s">
        <v>303</v>
      </c>
      <c r="D35" s="17" t="s">
        <v>309</v>
      </c>
    </row>
    <row r="36" spans="2:4" x14ac:dyDescent="0.15">
      <c r="B36" s="16" t="s">
        <v>310</v>
      </c>
      <c r="C36" s="17" t="s">
        <v>303</v>
      </c>
      <c r="D36" s="17" t="s">
        <v>278</v>
      </c>
    </row>
    <row r="37" spans="2:4" x14ac:dyDescent="0.15">
      <c r="B37" s="16" t="s">
        <v>311</v>
      </c>
      <c r="C37" s="17" t="s">
        <v>303</v>
      </c>
      <c r="D37" s="17" t="s">
        <v>278</v>
      </c>
    </row>
    <row r="38" spans="2:4" x14ac:dyDescent="0.15">
      <c r="B38" s="16" t="s">
        <v>312</v>
      </c>
      <c r="C38" s="17" t="s">
        <v>303</v>
      </c>
      <c r="D38" s="17" t="s">
        <v>278</v>
      </c>
    </row>
    <row r="39" spans="2:4" x14ac:dyDescent="0.15">
      <c r="B39" s="16" t="s">
        <v>313</v>
      </c>
      <c r="C39" s="17" t="s">
        <v>303</v>
      </c>
      <c r="D39" s="17" t="s">
        <v>278</v>
      </c>
    </row>
    <row r="40" spans="2:4" x14ac:dyDescent="0.15">
      <c r="B40" s="16" t="s">
        <v>314</v>
      </c>
      <c r="C40" s="17" t="s">
        <v>303</v>
      </c>
      <c r="D40" s="17" t="s">
        <v>281</v>
      </c>
    </row>
    <row r="41" spans="2:4" x14ac:dyDescent="0.15">
      <c r="B41" s="16" t="s">
        <v>315</v>
      </c>
      <c r="C41" s="17" t="s">
        <v>303</v>
      </c>
      <c r="D41" s="17" t="s">
        <v>278</v>
      </c>
    </row>
    <row r="42" spans="2:4" x14ac:dyDescent="0.15">
      <c r="B42" s="16" t="s">
        <v>316</v>
      </c>
      <c r="C42" s="17" t="s">
        <v>303</v>
      </c>
      <c r="D42" s="17" t="s">
        <v>278</v>
      </c>
    </row>
    <row r="43" spans="2:4" x14ac:dyDescent="0.15">
      <c r="B43" s="16" t="s">
        <v>317</v>
      </c>
      <c r="C43" s="17" t="s">
        <v>303</v>
      </c>
      <c r="D43" s="17" t="s">
        <v>278</v>
      </c>
    </row>
    <row r="44" spans="2:4" x14ac:dyDescent="0.15">
      <c r="B44" s="16" t="s">
        <v>318</v>
      </c>
      <c r="C44" s="17" t="s">
        <v>303</v>
      </c>
      <c r="D44" s="17" t="s">
        <v>281</v>
      </c>
    </row>
    <row r="45" spans="2:4" x14ac:dyDescent="0.15">
      <c r="B45" s="16" t="s">
        <v>319</v>
      </c>
      <c r="C45" s="17" t="s">
        <v>303</v>
      </c>
      <c r="D45" s="17" t="s">
        <v>278</v>
      </c>
    </row>
    <row r="46" spans="2:4" x14ac:dyDescent="0.15">
      <c r="B46" s="16" t="s">
        <v>320</v>
      </c>
      <c r="C46" s="17" t="s">
        <v>303</v>
      </c>
      <c r="D46" s="17" t="s">
        <v>278</v>
      </c>
    </row>
    <row r="47" spans="2:4" x14ac:dyDescent="0.15">
      <c r="B47" s="16" t="s">
        <v>321</v>
      </c>
      <c r="C47" s="17" t="s">
        <v>303</v>
      </c>
      <c r="D47" s="17" t="s">
        <v>281</v>
      </c>
    </row>
    <row r="48" spans="2:4" x14ac:dyDescent="0.15">
      <c r="B48" s="16" t="s">
        <v>322</v>
      </c>
      <c r="C48" s="17" t="s">
        <v>303</v>
      </c>
      <c r="D48" s="17" t="s">
        <v>278</v>
      </c>
    </row>
    <row r="49" spans="2:4" x14ac:dyDescent="0.15">
      <c r="B49" s="16" t="s">
        <v>323</v>
      </c>
      <c r="C49" s="17" t="s">
        <v>303</v>
      </c>
      <c r="D49" s="17" t="s">
        <v>281</v>
      </c>
    </row>
    <row r="50" spans="2:4" x14ac:dyDescent="0.15">
      <c r="B50" s="16" t="s">
        <v>324</v>
      </c>
      <c r="C50" s="17" t="s">
        <v>303</v>
      </c>
      <c r="D50" s="17" t="s">
        <v>281</v>
      </c>
    </row>
    <row r="51" spans="2:4" x14ac:dyDescent="0.15">
      <c r="B51" s="16" t="s">
        <v>325</v>
      </c>
      <c r="C51" s="17" t="s">
        <v>303</v>
      </c>
      <c r="D51" s="17" t="s">
        <v>278</v>
      </c>
    </row>
    <row r="52" spans="2:4" x14ac:dyDescent="0.15">
      <c r="B52" s="16" t="s">
        <v>326</v>
      </c>
      <c r="C52" s="17" t="s">
        <v>303</v>
      </c>
      <c r="D52" s="17" t="s">
        <v>278</v>
      </c>
    </row>
    <row r="53" spans="2:4" x14ac:dyDescent="0.15">
      <c r="B53" s="16" t="s">
        <v>327</v>
      </c>
      <c r="C53" s="17" t="s">
        <v>303</v>
      </c>
      <c r="D53" s="17" t="s">
        <v>281</v>
      </c>
    </row>
    <row r="54" spans="2:4" x14ac:dyDescent="0.15">
      <c r="B54" s="16" t="s">
        <v>328</v>
      </c>
      <c r="C54" s="17" t="s">
        <v>303</v>
      </c>
      <c r="D54" s="17" t="s">
        <v>281</v>
      </c>
    </row>
    <row r="55" spans="2:4" x14ac:dyDescent="0.15">
      <c r="B55" s="16" t="s">
        <v>329</v>
      </c>
      <c r="C55" s="17" t="s">
        <v>303</v>
      </c>
      <c r="D55" s="17" t="s">
        <v>281</v>
      </c>
    </row>
    <row r="56" spans="2:4" x14ac:dyDescent="0.15">
      <c r="B56" s="16" t="s">
        <v>330</v>
      </c>
      <c r="C56" s="17" t="s">
        <v>303</v>
      </c>
      <c r="D56" s="17" t="s">
        <v>331</v>
      </c>
    </row>
  </sheetData>
  <sheetProtection sheet="1" objects="1"/>
  <phoneticPr fontId="8"/>
  <pageMargins left="0.69930555555555596" right="0.69930555555555596"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32"/>
  <sheetViews>
    <sheetView workbookViewId="0">
      <pane xSplit="3" ySplit="5" topLeftCell="D6" activePane="bottomRight" state="frozen"/>
      <selection pane="topRight"/>
      <selection pane="bottomLeft"/>
      <selection pane="bottomRight" activeCell="C3" sqref="C3"/>
    </sheetView>
  </sheetViews>
  <sheetFormatPr defaultColWidth="9" defaultRowHeight="15.75" x14ac:dyDescent="0.15"/>
  <cols>
    <col min="1" max="1" width="2.25" style="1" customWidth="1"/>
    <col min="2" max="2" width="2.625" style="1" customWidth="1"/>
    <col min="3" max="3" width="9.5" style="1" customWidth="1"/>
    <col min="4" max="6" width="14.875" style="1" customWidth="1"/>
    <col min="7" max="8" width="14.75" style="1" customWidth="1"/>
    <col min="9" max="9" width="15.875" style="1" customWidth="1"/>
    <col min="10" max="11" width="14.875" style="1" customWidth="1"/>
    <col min="12" max="12" width="15.375" style="1" customWidth="1"/>
    <col min="13" max="13" width="15.875" style="1" customWidth="1"/>
    <col min="14" max="14" width="13.375" style="1" customWidth="1"/>
    <col min="15" max="17" width="15.875" style="1" customWidth="1"/>
    <col min="18" max="19" width="12.5" style="1" customWidth="1"/>
    <col min="20" max="20" width="14.75" style="1" customWidth="1"/>
    <col min="21" max="21" width="15.875" style="1" customWidth="1"/>
    <col min="22" max="24" width="14.75" style="1" customWidth="1"/>
    <col min="25" max="27" width="14.375" style="1" customWidth="1"/>
    <col min="28" max="28" width="15.875" style="1" customWidth="1"/>
    <col min="29" max="29" width="13.375" style="1" customWidth="1"/>
    <col min="30" max="30" width="13.125" style="1" customWidth="1"/>
    <col min="31" max="16384" width="9" style="1"/>
  </cols>
  <sheetData>
    <row r="1" spans="1:30" x14ac:dyDescent="0.15">
      <c r="A1" s="2" t="s">
        <v>332</v>
      </c>
    </row>
    <row r="3" spans="1:30" x14ac:dyDescent="0.15">
      <c r="B3" s="2" t="s">
        <v>333</v>
      </c>
    </row>
    <row r="4" spans="1:30" x14ac:dyDescent="0.15">
      <c r="B4" s="139"/>
      <c r="C4" s="140"/>
      <c r="D4" s="3" t="s">
        <v>81</v>
      </c>
      <c r="E4" s="3"/>
      <c r="F4" s="3"/>
      <c r="G4" s="3"/>
      <c r="H4" s="3"/>
      <c r="I4" s="3"/>
      <c r="J4" s="3"/>
      <c r="K4" s="3"/>
      <c r="L4" s="3"/>
      <c r="M4" s="3"/>
      <c r="N4" s="3"/>
      <c r="O4" s="8" t="s">
        <v>181</v>
      </c>
      <c r="P4" s="8"/>
      <c r="Q4" s="8"/>
      <c r="R4" s="8"/>
      <c r="S4" s="8"/>
      <c r="T4" s="8"/>
      <c r="U4" s="8"/>
      <c r="V4" s="8"/>
      <c r="W4" s="8"/>
      <c r="X4" s="8"/>
      <c r="Y4" s="8"/>
      <c r="Z4" s="8"/>
      <c r="AA4" s="9" t="s">
        <v>334</v>
      </c>
      <c r="AB4" s="9"/>
      <c r="AC4" s="9"/>
      <c r="AD4" s="10"/>
    </row>
    <row r="5" spans="1:30" x14ac:dyDescent="0.15">
      <c r="B5" s="141"/>
      <c r="C5" s="142"/>
      <c r="D5" s="4" t="str">
        <f>INDEX($C$5:$AD$32,COLUMN()-COLUMN($C5)+1,ROW()-ROW(C$5)+1)</f>
        <v>短剣</v>
      </c>
      <c r="E5" s="5" t="str">
        <f t="shared" ref="E5:E6" si="0">INDEX($C$5:$AD$32,COLUMN()-COLUMN($C5)+1,ROW()-ROW(D$5)+1)</f>
        <v>片手剣</v>
      </c>
      <c r="F5" s="5" t="str">
        <f t="shared" ref="F5:AD5" si="1">INDEX($C$5:$AD$32,COLUMN()-COLUMN($C5)+1,ROW()-ROW(E$5)+1)</f>
        <v>片手斧</v>
      </c>
      <c r="G5" s="5" t="str">
        <f t="shared" si="1"/>
        <v>両手剣</v>
      </c>
      <c r="H5" s="5" t="str">
        <f t="shared" si="1"/>
        <v>両手斧</v>
      </c>
      <c r="I5" s="5" t="str">
        <f t="shared" si="1"/>
        <v>ハンマー</v>
      </c>
      <c r="J5" s="5" t="str">
        <f t="shared" si="1"/>
        <v>槍</v>
      </c>
      <c r="K5" s="5" t="str">
        <f t="shared" si="1"/>
        <v>杖</v>
      </c>
      <c r="L5" s="5" t="str">
        <f t="shared" si="1"/>
        <v>ナックル</v>
      </c>
      <c r="M5" s="5" t="str">
        <f t="shared" si="1"/>
        <v>ヌンチャク</v>
      </c>
      <c r="N5" s="5" t="str">
        <f t="shared" si="1"/>
        <v>弓矢</v>
      </c>
      <c r="O5" s="5" t="str">
        <f t="shared" si="1"/>
        <v>盾</v>
      </c>
      <c r="P5" s="5" t="str">
        <f t="shared" si="1"/>
        <v>兜</v>
      </c>
      <c r="Q5" s="5" t="str">
        <f t="shared" si="1"/>
        <v>帽子</v>
      </c>
      <c r="R5" s="5" t="str">
        <f t="shared" si="1"/>
        <v>鎧</v>
      </c>
      <c r="S5" s="5" t="str">
        <f t="shared" si="1"/>
        <v>全身鎧</v>
      </c>
      <c r="T5" s="5" t="str">
        <f t="shared" si="1"/>
        <v>ローブ</v>
      </c>
      <c r="U5" s="5" t="str">
        <f t="shared" si="1"/>
        <v>小手</v>
      </c>
      <c r="V5" s="5" t="str">
        <f t="shared" si="1"/>
        <v>ブーツ</v>
      </c>
      <c r="W5" s="5" t="str">
        <f t="shared" si="1"/>
        <v>サンダル</v>
      </c>
      <c r="X5" s="5" t="str">
        <f t="shared" si="1"/>
        <v>マント</v>
      </c>
      <c r="Y5" s="5" t="str">
        <f t="shared" si="1"/>
        <v>リング</v>
      </c>
      <c r="Z5" s="5" t="str">
        <f t="shared" si="1"/>
        <v>ペンダント</v>
      </c>
      <c r="AA5" s="5" t="str">
        <f t="shared" si="1"/>
        <v>ハープ</v>
      </c>
      <c r="AB5" s="5" t="str">
        <f t="shared" si="1"/>
        <v>マリンバ</v>
      </c>
      <c r="AC5" s="5" t="str">
        <f t="shared" si="1"/>
        <v>フルート</v>
      </c>
      <c r="AD5" s="5" t="str">
        <f t="shared" si="1"/>
        <v>ドラム</v>
      </c>
    </row>
    <row r="6" spans="1:30" x14ac:dyDescent="0.15">
      <c r="B6" s="132" t="s">
        <v>335</v>
      </c>
      <c r="C6" s="4" t="s">
        <v>158</v>
      </c>
      <c r="D6" s="6" t="s">
        <v>277</v>
      </c>
      <c r="E6" s="6" t="str">
        <f t="shared" si="0"/>
        <v>チェーンギロチン</v>
      </c>
      <c r="F6" s="6" t="str">
        <f t="shared" ref="F6:F7" si="2">INDEX($C$5:$AD$32,COLUMN()-COLUMN($C6)+1,ROW()-ROW(E$5)+1)</f>
        <v>チェーンギロチン</v>
      </c>
      <c r="G6" s="6" t="str">
        <f t="shared" ref="G6:AD6" si="3">INDEX($C$5:$AD$32,COLUMN()-COLUMN($C6)+1,ROW()-ROW(F$5)+1)</f>
        <v>-</v>
      </c>
      <c r="H6" s="6" t="str">
        <f t="shared" si="3"/>
        <v>-</v>
      </c>
      <c r="I6" s="6" t="str">
        <f t="shared" si="3"/>
        <v>-</v>
      </c>
      <c r="J6" s="6" t="str">
        <f t="shared" si="3"/>
        <v>-</v>
      </c>
      <c r="K6" s="6" t="str">
        <f t="shared" si="3"/>
        <v>-</v>
      </c>
      <c r="L6" s="6" t="str">
        <f t="shared" si="3"/>
        <v>チェインドリル</v>
      </c>
      <c r="M6" s="6" t="str">
        <f t="shared" si="3"/>
        <v>-</v>
      </c>
      <c r="N6" s="6" t="str">
        <f t="shared" si="3"/>
        <v>-</v>
      </c>
      <c r="O6" s="6" t="str">
        <f t="shared" si="3"/>
        <v>-</v>
      </c>
      <c r="P6" s="6" t="str">
        <f t="shared" si="3"/>
        <v>-</v>
      </c>
      <c r="Q6" s="6" t="str">
        <f t="shared" si="3"/>
        <v>-</v>
      </c>
      <c r="R6" s="6" t="str">
        <f t="shared" si="3"/>
        <v>-</v>
      </c>
      <c r="S6" s="6" t="str">
        <f t="shared" si="3"/>
        <v>-</v>
      </c>
      <c r="T6" s="6" t="str">
        <f t="shared" si="3"/>
        <v>-</v>
      </c>
      <c r="U6" s="6" t="str">
        <f t="shared" si="3"/>
        <v>-</v>
      </c>
      <c r="V6" s="6" t="str">
        <f t="shared" si="3"/>
        <v>-</v>
      </c>
      <c r="W6" s="6" t="str">
        <f t="shared" si="3"/>
        <v>-</v>
      </c>
      <c r="X6" s="6" t="str">
        <f t="shared" si="3"/>
        <v>-</v>
      </c>
      <c r="Y6" s="6" t="str">
        <f t="shared" si="3"/>
        <v>-</v>
      </c>
      <c r="Z6" s="6" t="str">
        <f t="shared" si="3"/>
        <v>-</v>
      </c>
      <c r="AA6" s="6" t="str">
        <f t="shared" si="3"/>
        <v>ドリルロケット</v>
      </c>
      <c r="AB6" s="6" t="str">
        <f t="shared" si="3"/>
        <v>-</v>
      </c>
      <c r="AC6" s="6" t="str">
        <f t="shared" si="3"/>
        <v>-</v>
      </c>
      <c r="AD6" s="6" t="str">
        <f t="shared" si="3"/>
        <v>-</v>
      </c>
    </row>
    <row r="7" spans="1:30" x14ac:dyDescent="0.15">
      <c r="B7" s="133"/>
      <c r="C7" s="7" t="s">
        <v>185</v>
      </c>
      <c r="D7" s="6" t="s">
        <v>282</v>
      </c>
      <c r="E7" s="6" t="s">
        <v>186</v>
      </c>
      <c r="F7" s="6" t="str">
        <f t="shared" si="2"/>
        <v>ギロチン</v>
      </c>
      <c r="G7" s="6" t="str">
        <f t="shared" ref="G7:AD8" si="4">INDEX($C$5:$AD$32,COLUMN()-COLUMN($C7)+1,ROW()-ROW(F$5)+1)</f>
        <v>チェーンソーR</v>
      </c>
      <c r="H7" s="6" t="str">
        <f t="shared" si="4"/>
        <v>チェーンソーR</v>
      </c>
      <c r="I7" s="6" t="str">
        <f t="shared" si="4"/>
        <v>-</v>
      </c>
      <c r="J7" s="6" t="str">
        <f t="shared" si="4"/>
        <v>チェーンギロチン</v>
      </c>
      <c r="K7" s="6" t="str">
        <f t="shared" si="4"/>
        <v>チェーンギロチン</v>
      </c>
      <c r="L7" s="6" t="str">
        <f t="shared" si="4"/>
        <v>-</v>
      </c>
      <c r="M7" s="6" t="str">
        <f t="shared" si="4"/>
        <v>-</v>
      </c>
      <c r="N7" s="6" t="str">
        <f t="shared" si="4"/>
        <v>-</v>
      </c>
      <c r="O7" s="6" t="str">
        <f t="shared" si="4"/>
        <v>-</v>
      </c>
      <c r="P7" s="6" t="str">
        <f t="shared" si="4"/>
        <v>-</v>
      </c>
      <c r="Q7" s="6" t="str">
        <f t="shared" si="4"/>
        <v>-</v>
      </c>
      <c r="R7" s="6" t="str">
        <f t="shared" si="4"/>
        <v>-</v>
      </c>
      <c r="S7" s="6" t="str">
        <f t="shared" si="4"/>
        <v>-</v>
      </c>
      <c r="T7" s="6" t="str">
        <f t="shared" si="4"/>
        <v>-</v>
      </c>
      <c r="U7" s="6" t="str">
        <f t="shared" si="4"/>
        <v>-</v>
      </c>
      <c r="V7" s="6" t="str">
        <f t="shared" si="4"/>
        <v>-</v>
      </c>
      <c r="W7" s="6" t="str">
        <f t="shared" si="4"/>
        <v>-</v>
      </c>
      <c r="X7" s="6" t="str">
        <f t="shared" si="4"/>
        <v>-</v>
      </c>
      <c r="Y7" s="6" t="str">
        <f t="shared" si="4"/>
        <v>-</v>
      </c>
      <c r="Z7" s="6" t="str">
        <f t="shared" si="4"/>
        <v>-</v>
      </c>
      <c r="AA7" s="6" t="str">
        <f t="shared" si="4"/>
        <v>-</v>
      </c>
      <c r="AB7" s="6" t="str">
        <f t="shared" si="4"/>
        <v>-</v>
      </c>
      <c r="AC7" s="6" t="str">
        <f t="shared" si="4"/>
        <v>-</v>
      </c>
      <c r="AD7" s="6" t="str">
        <f t="shared" si="4"/>
        <v>竜巻ギロチン</v>
      </c>
    </row>
    <row r="8" spans="1:30" x14ac:dyDescent="0.15">
      <c r="B8" s="133"/>
      <c r="C8" s="7" t="s">
        <v>188</v>
      </c>
      <c r="D8" s="6" t="str">
        <f>D7</f>
        <v>チェーンギロチン</v>
      </c>
      <c r="E8" s="6" t="str">
        <f>E7</f>
        <v>ギロチン</v>
      </c>
      <c r="F8" s="6" t="str">
        <f>E7</f>
        <v>ギロチン</v>
      </c>
      <c r="G8" s="6" t="str">
        <f t="shared" si="4"/>
        <v>チェーンソーR</v>
      </c>
      <c r="H8" s="6" t="str">
        <f t="shared" ref="H8:AB8" si="5">INDEX($C$5:$AD$32,COLUMN()-COLUMN($C8)+1,ROW()-ROW(G$5)+1)</f>
        <v>チェーンソーR</v>
      </c>
      <c r="I8" s="6" t="str">
        <f t="shared" si="5"/>
        <v>-</v>
      </c>
      <c r="J8" s="6" t="str">
        <f t="shared" si="5"/>
        <v>チェーンギロチン</v>
      </c>
      <c r="K8" s="6" t="str">
        <f t="shared" si="5"/>
        <v>チェーンギロチン</v>
      </c>
      <c r="L8" s="6" t="str">
        <f t="shared" si="5"/>
        <v>-</v>
      </c>
      <c r="M8" s="6" t="str">
        <f t="shared" si="5"/>
        <v>-</v>
      </c>
      <c r="N8" s="6" t="str">
        <f t="shared" si="5"/>
        <v>-</v>
      </c>
      <c r="O8" s="6" t="str">
        <f t="shared" si="5"/>
        <v>-</v>
      </c>
      <c r="P8" s="6" t="str">
        <f t="shared" si="5"/>
        <v>-</v>
      </c>
      <c r="Q8" s="6" t="str">
        <f t="shared" si="5"/>
        <v>-</v>
      </c>
      <c r="R8" s="6" t="str">
        <f t="shared" si="5"/>
        <v>-</v>
      </c>
      <c r="S8" s="6" t="str">
        <f t="shared" si="5"/>
        <v>-</v>
      </c>
      <c r="T8" s="6" t="str">
        <f t="shared" si="5"/>
        <v>-</v>
      </c>
      <c r="U8" s="6" t="str">
        <f t="shared" si="5"/>
        <v>-</v>
      </c>
      <c r="V8" s="6" t="str">
        <f t="shared" si="5"/>
        <v>-</v>
      </c>
      <c r="W8" s="6" t="str">
        <f t="shared" si="5"/>
        <v>-</v>
      </c>
      <c r="X8" s="6" t="str">
        <f t="shared" si="5"/>
        <v>-</v>
      </c>
      <c r="Y8" s="6" t="str">
        <f t="shared" si="5"/>
        <v>-</v>
      </c>
      <c r="Z8" s="6" t="str">
        <f t="shared" si="5"/>
        <v>-</v>
      </c>
      <c r="AA8" s="6" t="str">
        <f t="shared" si="5"/>
        <v>-</v>
      </c>
      <c r="AB8" s="6" t="str">
        <f t="shared" si="5"/>
        <v>-</v>
      </c>
      <c r="AC8" s="6" t="str">
        <f t="shared" ref="AC8:AD8" si="6">INDEX($C$5:$AD$32,COLUMN()-COLUMN($C8)+1,ROW()-ROW(AB$5)+1)</f>
        <v>-</v>
      </c>
      <c r="AD8" s="6" t="str">
        <f t="shared" si="6"/>
        <v>竜巻ギロチン</v>
      </c>
    </row>
    <row r="9" spans="1:30" x14ac:dyDescent="0.15">
      <c r="B9" s="133"/>
      <c r="C9" s="7" t="s">
        <v>136</v>
      </c>
      <c r="D9" s="6" t="s">
        <v>91</v>
      </c>
      <c r="E9" s="6" t="s">
        <v>285</v>
      </c>
      <c r="F9" s="6" t="s">
        <v>285</v>
      </c>
      <c r="G9" s="6" t="s">
        <v>190</v>
      </c>
      <c r="H9" s="6" t="str">
        <f t="shared" ref="H9:AB9" si="7">INDEX($C$5:$AD$32,COLUMN()-COLUMN($C9)+1,ROW()-ROW(G$5)+1)</f>
        <v>チェーンソー</v>
      </c>
      <c r="I9" s="6" t="str">
        <f t="shared" si="7"/>
        <v>-</v>
      </c>
      <c r="J9" s="6" t="str">
        <f t="shared" si="7"/>
        <v>-</v>
      </c>
      <c r="K9" s="6" t="str">
        <f t="shared" si="7"/>
        <v>-</v>
      </c>
      <c r="L9" s="6" t="str">
        <f t="shared" si="7"/>
        <v>-</v>
      </c>
      <c r="M9" s="6" t="str">
        <f t="shared" si="7"/>
        <v>-</v>
      </c>
      <c r="N9" s="6" t="str">
        <f t="shared" si="7"/>
        <v>-</v>
      </c>
      <c r="O9" s="6" t="str">
        <f t="shared" si="7"/>
        <v>-</v>
      </c>
      <c r="P9" s="6" t="str">
        <f t="shared" si="7"/>
        <v>-</v>
      </c>
      <c r="Q9" s="6" t="str">
        <f t="shared" si="7"/>
        <v>-</v>
      </c>
      <c r="R9" s="6" t="str">
        <f t="shared" si="7"/>
        <v>-</v>
      </c>
      <c r="S9" s="6" t="str">
        <f t="shared" si="7"/>
        <v>-</v>
      </c>
      <c r="T9" s="6" t="str">
        <f t="shared" si="7"/>
        <v>チェーンソー回し</v>
      </c>
      <c r="U9" s="6" t="str">
        <f t="shared" si="7"/>
        <v>-</v>
      </c>
      <c r="V9" s="6" t="str">
        <f t="shared" si="7"/>
        <v>-</v>
      </c>
      <c r="W9" s="6" t="str">
        <f t="shared" si="7"/>
        <v>-</v>
      </c>
      <c r="X9" s="6" t="str">
        <f t="shared" si="7"/>
        <v>チェーンソー回し</v>
      </c>
      <c r="Y9" s="6" t="str">
        <f t="shared" si="7"/>
        <v>-</v>
      </c>
      <c r="Z9" s="6" t="str">
        <f t="shared" si="7"/>
        <v>-</v>
      </c>
      <c r="AA9" s="6" t="str">
        <f t="shared" si="7"/>
        <v>-</v>
      </c>
      <c r="AB9" s="6" t="str">
        <f t="shared" si="7"/>
        <v>-</v>
      </c>
      <c r="AC9" s="6" t="str">
        <f t="shared" ref="AC9:AD9" si="8">INDEX($C$5:$AD$32,COLUMN()-COLUMN($C9)+1,ROW()-ROW(AB$5)+1)</f>
        <v>-</v>
      </c>
      <c r="AD9" s="6" t="str">
        <f t="shared" si="8"/>
        <v>-</v>
      </c>
    </row>
    <row r="10" spans="1:30" x14ac:dyDescent="0.15">
      <c r="B10" s="133"/>
      <c r="C10" s="7" t="s">
        <v>191</v>
      </c>
      <c r="D10" s="6" t="str">
        <f t="shared" ref="D10:G10" si="9">D9</f>
        <v>-</v>
      </c>
      <c r="E10" s="6" t="str">
        <f t="shared" ref="E10" si="10">E9</f>
        <v>チェーンソーR</v>
      </c>
      <c r="F10" s="6" t="str">
        <f t="shared" ref="F10" si="11">F9</f>
        <v>チェーンソーR</v>
      </c>
      <c r="G10" s="6" t="str">
        <f t="shared" si="9"/>
        <v>チェーンソー</v>
      </c>
      <c r="H10" s="6" t="str">
        <f>G9</f>
        <v>チェーンソー</v>
      </c>
      <c r="I10" s="6" t="str">
        <f t="shared" ref="I10:AB10" si="12">INDEX($C$5:$AD$32,COLUMN()-COLUMN($C10)+1,ROW()-ROW(H$5)+1)</f>
        <v>-</v>
      </c>
      <c r="J10" s="6" t="str">
        <f t="shared" si="12"/>
        <v>-</v>
      </c>
      <c r="K10" s="6" t="str">
        <f t="shared" si="12"/>
        <v>-</v>
      </c>
      <c r="L10" s="6" t="str">
        <f t="shared" si="12"/>
        <v>-</v>
      </c>
      <c r="M10" s="6" t="str">
        <f t="shared" si="12"/>
        <v>-</v>
      </c>
      <c r="N10" s="6" t="str">
        <f t="shared" si="12"/>
        <v>-</v>
      </c>
      <c r="O10" s="6" t="str">
        <f t="shared" si="12"/>
        <v>-</v>
      </c>
      <c r="P10" s="6" t="str">
        <f t="shared" si="12"/>
        <v>-</v>
      </c>
      <c r="Q10" s="6" t="str">
        <f t="shared" si="12"/>
        <v>-</v>
      </c>
      <c r="R10" s="6" t="str">
        <f t="shared" si="12"/>
        <v>-</v>
      </c>
      <c r="S10" s="6" t="str">
        <f t="shared" si="12"/>
        <v>-</v>
      </c>
      <c r="T10" s="6" t="str">
        <f t="shared" si="12"/>
        <v>チェーンソー回し</v>
      </c>
      <c r="U10" s="6" t="str">
        <f t="shared" si="12"/>
        <v>-</v>
      </c>
      <c r="V10" s="6" t="str">
        <f t="shared" si="12"/>
        <v>-</v>
      </c>
      <c r="W10" s="6" t="str">
        <f t="shared" si="12"/>
        <v>-</v>
      </c>
      <c r="X10" s="6" t="str">
        <f t="shared" si="12"/>
        <v>チェーンソー回し</v>
      </c>
      <c r="Y10" s="6" t="str">
        <f t="shared" si="12"/>
        <v>-</v>
      </c>
      <c r="Z10" s="6" t="str">
        <f t="shared" si="12"/>
        <v>-</v>
      </c>
      <c r="AA10" s="6" t="str">
        <f t="shared" si="12"/>
        <v>-</v>
      </c>
      <c r="AB10" s="6" t="str">
        <f t="shared" si="12"/>
        <v>-</v>
      </c>
      <c r="AC10" s="6" t="str">
        <f t="shared" ref="AC10:AD10" si="13">INDEX($C$5:$AD$32,COLUMN()-COLUMN($C10)+1,ROW()-ROW(AB$5)+1)</f>
        <v>-</v>
      </c>
      <c r="AD10" s="6" t="str">
        <f t="shared" si="13"/>
        <v>-</v>
      </c>
    </row>
    <row r="11" spans="1:30" x14ac:dyDescent="0.15">
      <c r="B11" s="133"/>
      <c r="C11" s="7" t="s">
        <v>79</v>
      </c>
      <c r="D11" s="6" t="s">
        <v>91</v>
      </c>
      <c r="E11" s="6" t="s">
        <v>91</v>
      </c>
      <c r="F11" s="6" t="str">
        <f>E11</f>
        <v>-</v>
      </c>
      <c r="G11" s="6" t="s">
        <v>91</v>
      </c>
      <c r="H11" s="6" t="str">
        <f>G11</f>
        <v>-</v>
      </c>
      <c r="I11" s="6" t="s">
        <v>286</v>
      </c>
      <c r="J11" s="6" t="str">
        <f t="shared" ref="J11:AB11" si="14">INDEX($C$5:$AD$32,COLUMN()-COLUMN($C11)+1,ROW()-ROW(I$5)+1)</f>
        <v>-</v>
      </c>
      <c r="K11" s="6" t="str">
        <f t="shared" si="14"/>
        <v>-</v>
      </c>
      <c r="L11" s="6" t="str">
        <f t="shared" si="14"/>
        <v>トゲ鉄球アッパー</v>
      </c>
      <c r="M11" s="6" t="str">
        <f t="shared" si="14"/>
        <v>ピコピコハンマー</v>
      </c>
      <c r="N11" s="6" t="str">
        <f t="shared" si="14"/>
        <v>-</v>
      </c>
      <c r="O11" s="6" t="str">
        <f t="shared" si="14"/>
        <v>-</v>
      </c>
      <c r="P11" s="6" t="str">
        <f t="shared" si="14"/>
        <v>トゲ鉄球雨あられ</v>
      </c>
      <c r="Q11" s="6" t="str">
        <f t="shared" si="14"/>
        <v>トゲ鉄球雨あられ</v>
      </c>
      <c r="R11" s="6" t="str">
        <f t="shared" si="14"/>
        <v>-</v>
      </c>
      <c r="S11" s="6" t="str">
        <f t="shared" si="14"/>
        <v>-</v>
      </c>
      <c r="T11" s="6" t="str">
        <f t="shared" si="14"/>
        <v>大車輪トゲ鉄球</v>
      </c>
      <c r="U11" s="6" t="str">
        <f t="shared" si="14"/>
        <v>-</v>
      </c>
      <c r="V11" s="6" t="str">
        <f t="shared" si="14"/>
        <v>-</v>
      </c>
      <c r="W11" s="6" t="str">
        <f t="shared" si="14"/>
        <v>-</v>
      </c>
      <c r="X11" s="6" t="str">
        <f t="shared" si="14"/>
        <v>大車輪トゲ鉄球</v>
      </c>
      <c r="Y11" s="6" t="str">
        <f t="shared" si="14"/>
        <v>まんまるドロップ</v>
      </c>
      <c r="Z11" s="6" t="str">
        <f t="shared" si="14"/>
        <v>まんまるドロップ</v>
      </c>
      <c r="AA11" s="6" t="str">
        <f t="shared" si="14"/>
        <v>-</v>
      </c>
      <c r="AB11" s="6" t="str">
        <f t="shared" si="14"/>
        <v>-</v>
      </c>
      <c r="AC11" s="6" t="str">
        <f t="shared" ref="AC11:AD11" si="15">INDEX($C$5:$AD$32,COLUMN()-COLUMN($C11)+1,ROW()-ROW(AB$5)+1)</f>
        <v>-</v>
      </c>
      <c r="AD11" s="6" t="str">
        <f t="shared" si="15"/>
        <v>-</v>
      </c>
    </row>
    <row r="12" spans="1:30" x14ac:dyDescent="0.15">
      <c r="B12" s="133"/>
      <c r="C12" s="7" t="s">
        <v>137</v>
      </c>
      <c r="D12" s="6" t="s">
        <v>91</v>
      </c>
      <c r="E12" s="6" t="str">
        <f t="shared" ref="E12:I12" si="16">E6</f>
        <v>チェーンギロチン</v>
      </c>
      <c r="F12" s="6" t="str">
        <f t="shared" si="16"/>
        <v>チェーンギロチン</v>
      </c>
      <c r="G12" s="6" t="str">
        <f t="shared" si="16"/>
        <v>-</v>
      </c>
      <c r="H12" s="6" t="str">
        <f t="shared" si="16"/>
        <v>-</v>
      </c>
      <c r="I12" s="6" t="str">
        <f t="shared" si="16"/>
        <v>-</v>
      </c>
      <c r="J12" s="6" t="str">
        <f>D6</f>
        <v>チェインスピア</v>
      </c>
      <c r="K12" s="6" t="str">
        <f t="shared" ref="K12:AB12" si="17">INDEX($C$5:$AD$32,COLUMN()-COLUMN($C12)+1,ROW()-ROW(J$5)+1)</f>
        <v>チェインスピア</v>
      </c>
      <c r="L12" s="6" t="str">
        <f t="shared" si="17"/>
        <v>チェインドリル</v>
      </c>
      <c r="M12" s="6" t="str">
        <f t="shared" si="17"/>
        <v>-</v>
      </c>
      <c r="N12" s="6" t="str">
        <f t="shared" si="17"/>
        <v>-</v>
      </c>
      <c r="O12" s="6" t="str">
        <f t="shared" si="17"/>
        <v>-</v>
      </c>
      <c r="P12" s="6" t="str">
        <f t="shared" si="17"/>
        <v>-</v>
      </c>
      <c r="Q12" s="6" t="str">
        <f t="shared" si="17"/>
        <v>-</v>
      </c>
      <c r="R12" s="6" t="str">
        <f t="shared" si="17"/>
        <v>-</v>
      </c>
      <c r="S12" s="6" t="str">
        <f t="shared" si="17"/>
        <v>-</v>
      </c>
      <c r="T12" s="6" t="str">
        <f t="shared" si="17"/>
        <v>-</v>
      </c>
      <c r="U12" s="6" t="str">
        <f t="shared" si="17"/>
        <v>-</v>
      </c>
      <c r="V12" s="6" t="str">
        <f t="shared" si="17"/>
        <v>-</v>
      </c>
      <c r="W12" s="6" t="str">
        <f t="shared" si="17"/>
        <v>-</v>
      </c>
      <c r="X12" s="6" t="str">
        <f t="shared" si="17"/>
        <v>-</v>
      </c>
      <c r="Y12" s="6" t="str">
        <f t="shared" si="17"/>
        <v>-</v>
      </c>
      <c r="Z12" s="6" t="str">
        <f t="shared" si="17"/>
        <v>-</v>
      </c>
      <c r="AA12" s="6" t="str">
        <f t="shared" si="17"/>
        <v>ドリルロケット</v>
      </c>
      <c r="AB12" s="6" t="str">
        <f t="shared" si="17"/>
        <v>-</v>
      </c>
      <c r="AC12" s="6" t="str">
        <f t="shared" ref="AC12:AD12" si="18">INDEX($C$5:$AD$32,COLUMN()-COLUMN($C12)+1,ROW()-ROW(AB$5)+1)</f>
        <v>-</v>
      </c>
      <c r="AD12" s="6" t="str">
        <f t="shared" si="18"/>
        <v>-</v>
      </c>
    </row>
    <row r="13" spans="1:30" x14ac:dyDescent="0.15">
      <c r="B13" s="133"/>
      <c r="C13" s="7" t="s">
        <v>194</v>
      </c>
      <c r="D13" s="6" t="str">
        <f>D12</f>
        <v>-</v>
      </c>
      <c r="E13" s="6" t="str">
        <f t="shared" ref="E13:J13" si="19">E12</f>
        <v>チェーンギロチン</v>
      </c>
      <c r="F13" s="6" t="str">
        <f t="shared" si="19"/>
        <v>チェーンギロチン</v>
      </c>
      <c r="G13" s="6" t="str">
        <f t="shared" si="19"/>
        <v>-</v>
      </c>
      <c r="H13" s="6" t="str">
        <f t="shared" si="19"/>
        <v>-</v>
      </c>
      <c r="I13" s="6" t="str">
        <f t="shared" si="19"/>
        <v>-</v>
      </c>
      <c r="J13" s="6" t="str">
        <f t="shared" si="19"/>
        <v>チェインスピア</v>
      </c>
      <c r="K13" s="6" t="str">
        <f>J12</f>
        <v>チェインスピア</v>
      </c>
      <c r="L13" s="6" t="str">
        <f t="shared" ref="L13:AB13" si="20">INDEX($C$5:$AD$32,COLUMN()-COLUMN($C13)+1,ROW()-ROW(K$5)+1)</f>
        <v>チェインドリル</v>
      </c>
      <c r="M13" s="6" t="str">
        <f t="shared" si="20"/>
        <v>-</v>
      </c>
      <c r="N13" s="6" t="str">
        <f t="shared" si="20"/>
        <v>-</v>
      </c>
      <c r="O13" s="6" t="str">
        <f t="shared" si="20"/>
        <v>-</v>
      </c>
      <c r="P13" s="6" t="str">
        <f t="shared" si="20"/>
        <v>-</v>
      </c>
      <c r="Q13" s="6" t="str">
        <f t="shared" si="20"/>
        <v>-</v>
      </c>
      <c r="R13" s="6" t="str">
        <f t="shared" si="20"/>
        <v>-</v>
      </c>
      <c r="S13" s="6" t="str">
        <f t="shared" si="20"/>
        <v>-</v>
      </c>
      <c r="T13" s="6" t="str">
        <f t="shared" si="20"/>
        <v>-</v>
      </c>
      <c r="U13" s="6" t="str">
        <f t="shared" si="20"/>
        <v>-</v>
      </c>
      <c r="V13" s="6" t="str">
        <f t="shared" si="20"/>
        <v>-</v>
      </c>
      <c r="W13" s="6" t="str">
        <f t="shared" si="20"/>
        <v>-</v>
      </c>
      <c r="X13" s="6" t="str">
        <f t="shared" si="20"/>
        <v>-</v>
      </c>
      <c r="Y13" s="6" t="str">
        <f t="shared" si="20"/>
        <v>-</v>
      </c>
      <c r="Z13" s="6" t="str">
        <f t="shared" si="20"/>
        <v>-</v>
      </c>
      <c r="AA13" s="6" t="str">
        <f t="shared" si="20"/>
        <v>ドリルロケット</v>
      </c>
      <c r="AB13" s="6" t="str">
        <f t="shared" si="20"/>
        <v>-</v>
      </c>
      <c r="AC13" s="6" t="str">
        <f t="shared" ref="AC13:AD13" si="21">INDEX($C$5:$AD$32,COLUMN()-COLUMN($C13)+1,ROW()-ROW(AB$5)+1)</f>
        <v>-</v>
      </c>
      <c r="AD13" s="6" t="str">
        <f t="shared" si="21"/>
        <v>-</v>
      </c>
    </row>
    <row r="14" spans="1:30" x14ac:dyDescent="0.15">
      <c r="B14" s="133"/>
      <c r="C14" s="7" t="s">
        <v>195</v>
      </c>
      <c r="D14" s="6" t="s">
        <v>279</v>
      </c>
      <c r="E14" s="6" t="s">
        <v>91</v>
      </c>
      <c r="F14" s="6" t="str">
        <f t="shared" ref="F14:F32" si="22">E14</f>
        <v>-</v>
      </c>
      <c r="G14" s="6" t="s">
        <v>91</v>
      </c>
      <c r="H14" s="6" t="str">
        <f t="shared" ref="H14:H32" si="23">G14</f>
        <v>-</v>
      </c>
      <c r="I14" s="6" t="s">
        <v>287</v>
      </c>
      <c r="J14" s="6" t="str">
        <f>D14</f>
        <v>チェインドリル</v>
      </c>
      <c r="K14" s="6" t="str">
        <f>J14</f>
        <v>チェインドリル</v>
      </c>
      <c r="L14" s="6" t="s">
        <v>290</v>
      </c>
      <c r="M14" s="6" t="str">
        <f t="shared" ref="M14:AB14" si="24">INDEX($C$5:$AD$32,COLUMN()-COLUMN($C14)+1,ROW()-ROW(L$5)+1)</f>
        <v>トゲ鉄球アッパー</v>
      </c>
      <c r="N14" s="6" t="str">
        <f t="shared" si="24"/>
        <v>-</v>
      </c>
      <c r="O14" s="6" t="str">
        <f t="shared" si="24"/>
        <v>-</v>
      </c>
      <c r="P14" s="6" t="str">
        <f t="shared" si="24"/>
        <v>-</v>
      </c>
      <c r="Q14" s="6" t="str">
        <f t="shared" si="24"/>
        <v>-</v>
      </c>
      <c r="R14" s="6" t="str">
        <f t="shared" si="24"/>
        <v>爆裂パンチ</v>
      </c>
      <c r="S14" s="6" t="str">
        <f t="shared" si="24"/>
        <v>爆裂パンチ</v>
      </c>
      <c r="T14" s="6" t="str">
        <f t="shared" si="24"/>
        <v>-</v>
      </c>
      <c r="U14" s="6" t="str">
        <f t="shared" si="24"/>
        <v>-</v>
      </c>
      <c r="V14" s="6" t="str">
        <f t="shared" si="24"/>
        <v>-</v>
      </c>
      <c r="W14" s="6" t="str">
        <f t="shared" si="24"/>
        <v>-</v>
      </c>
      <c r="X14" s="6" t="str">
        <f t="shared" si="24"/>
        <v>-</v>
      </c>
      <c r="Y14" s="6" t="str">
        <f t="shared" si="24"/>
        <v>-</v>
      </c>
      <c r="Z14" s="6" t="str">
        <f t="shared" si="24"/>
        <v>-</v>
      </c>
      <c r="AA14" s="6" t="str">
        <f t="shared" si="24"/>
        <v>ロケットパンチ</v>
      </c>
      <c r="AB14" s="6" t="str">
        <f t="shared" si="24"/>
        <v>-</v>
      </c>
      <c r="AC14" s="6" t="str">
        <f t="shared" ref="AC14:AD14" si="25">INDEX($C$5:$AD$32,COLUMN()-COLUMN($C14)+1,ROW()-ROW(AB$5)+1)</f>
        <v>-</v>
      </c>
      <c r="AD14" s="6" t="str">
        <f t="shared" si="25"/>
        <v>-</v>
      </c>
    </row>
    <row r="15" spans="1:30" x14ac:dyDescent="0.15">
      <c r="B15" s="133"/>
      <c r="C15" s="7" t="s">
        <v>197</v>
      </c>
      <c r="D15" s="6" t="str">
        <f>D11</f>
        <v>-</v>
      </c>
      <c r="E15" s="6" t="str">
        <f t="shared" ref="E15:L15" si="26">E11</f>
        <v>-</v>
      </c>
      <c r="F15" s="6" t="str">
        <f t="shared" si="26"/>
        <v>-</v>
      </c>
      <c r="G15" s="6" t="str">
        <f t="shared" si="26"/>
        <v>-</v>
      </c>
      <c r="H15" s="6" t="str">
        <f t="shared" si="26"/>
        <v>-</v>
      </c>
      <c r="I15" s="6" t="str">
        <f t="shared" si="26"/>
        <v>ピコピコハンマー</v>
      </c>
      <c r="J15" s="6" t="str">
        <f t="shared" ref="J15:J32" si="27">D15</f>
        <v>-</v>
      </c>
      <c r="K15" s="6" t="str">
        <f t="shared" si="26"/>
        <v>-</v>
      </c>
      <c r="L15" s="6" t="str">
        <f t="shared" si="26"/>
        <v>トゲ鉄球アッパー</v>
      </c>
      <c r="M15" s="6" t="str">
        <f>I11</f>
        <v>ピコピコハンマー</v>
      </c>
      <c r="N15" s="6" t="str">
        <f t="shared" ref="N15:AB15" si="28">INDEX($C$5:$AD$32,COLUMN()-COLUMN($C15)+1,ROW()-ROW(M$5)+1)</f>
        <v>-</v>
      </c>
      <c r="O15" s="6" t="str">
        <f t="shared" si="28"/>
        <v>-</v>
      </c>
      <c r="P15" s="6" t="str">
        <f t="shared" si="28"/>
        <v>トゲ鉄球雨あられ</v>
      </c>
      <c r="Q15" s="6" t="str">
        <f t="shared" si="28"/>
        <v>トゲ鉄球雨あられ</v>
      </c>
      <c r="R15" s="6" t="str">
        <f t="shared" si="28"/>
        <v>-</v>
      </c>
      <c r="S15" s="6" t="str">
        <f t="shared" si="28"/>
        <v>-</v>
      </c>
      <c r="T15" s="6" t="str">
        <f t="shared" si="28"/>
        <v>大車輪トゲ鉄球</v>
      </c>
      <c r="U15" s="6" t="str">
        <f t="shared" si="28"/>
        <v>-</v>
      </c>
      <c r="V15" s="6" t="str">
        <f t="shared" si="28"/>
        <v>-</v>
      </c>
      <c r="W15" s="6" t="str">
        <f t="shared" si="28"/>
        <v>-</v>
      </c>
      <c r="X15" s="6" t="str">
        <f t="shared" si="28"/>
        <v>大車輪トゲ鉄球</v>
      </c>
      <c r="Y15" s="6" t="str">
        <f t="shared" si="28"/>
        <v>まんまるドロップ</v>
      </c>
      <c r="Z15" s="6" t="str">
        <f t="shared" si="28"/>
        <v>まんまるドロップ</v>
      </c>
      <c r="AA15" s="6" t="str">
        <f t="shared" si="28"/>
        <v>-</v>
      </c>
      <c r="AB15" s="6" t="str">
        <f t="shared" si="28"/>
        <v>-</v>
      </c>
      <c r="AC15" s="6" t="str">
        <f t="shared" ref="AC15:AD15" si="29">INDEX($C$5:$AD$32,COLUMN()-COLUMN($C15)+1,ROW()-ROW(AB$5)+1)</f>
        <v>-</v>
      </c>
      <c r="AD15" s="6" t="str">
        <f t="shared" si="29"/>
        <v>-</v>
      </c>
    </row>
    <row r="16" spans="1:30" x14ac:dyDescent="0.15">
      <c r="B16" s="133"/>
      <c r="C16" s="7" t="s">
        <v>198</v>
      </c>
      <c r="D16" s="6" t="s">
        <v>91</v>
      </c>
      <c r="E16" s="6" t="s">
        <v>91</v>
      </c>
      <c r="F16" s="6" t="str">
        <f t="shared" si="22"/>
        <v>-</v>
      </c>
      <c r="G16" s="6" t="s">
        <v>91</v>
      </c>
      <c r="H16" s="6" t="str">
        <f t="shared" si="23"/>
        <v>-</v>
      </c>
      <c r="I16" s="6" t="s">
        <v>91</v>
      </c>
      <c r="J16" s="6" t="str">
        <f t="shared" si="27"/>
        <v>-</v>
      </c>
      <c r="K16" s="6" t="str">
        <f t="shared" ref="K16:K32" si="30">J16</f>
        <v>-</v>
      </c>
      <c r="L16" s="6" t="s">
        <v>91</v>
      </c>
      <c r="M16" s="6" t="str">
        <f>I16</f>
        <v>-</v>
      </c>
      <c r="N16" s="6" t="s">
        <v>199</v>
      </c>
      <c r="O16" s="6" t="str">
        <f t="shared" ref="O16:AB16" si="31">INDEX($C$5:$AD$32,COLUMN()-COLUMN($C16)+1,ROW()-ROW(N$5)+1)</f>
        <v>ネットショット</v>
      </c>
      <c r="P16" s="6" t="str">
        <f t="shared" si="31"/>
        <v>-</v>
      </c>
      <c r="Q16" s="6" t="str">
        <f t="shared" si="31"/>
        <v>-</v>
      </c>
      <c r="R16" s="6" t="str">
        <f t="shared" si="31"/>
        <v>-</v>
      </c>
      <c r="S16" s="6" t="str">
        <f t="shared" si="31"/>
        <v>-</v>
      </c>
      <c r="T16" s="6" t="str">
        <f t="shared" si="31"/>
        <v>-</v>
      </c>
      <c r="U16" s="6" t="str">
        <f t="shared" si="31"/>
        <v>ネットショット</v>
      </c>
      <c r="V16" s="6" t="str">
        <f t="shared" si="31"/>
        <v>-</v>
      </c>
      <c r="W16" s="6" t="str">
        <f t="shared" si="31"/>
        <v>-</v>
      </c>
      <c r="X16" s="6" t="str">
        <f t="shared" si="31"/>
        <v>-</v>
      </c>
      <c r="Y16" s="6" t="str">
        <f t="shared" si="31"/>
        <v>Wビット</v>
      </c>
      <c r="Z16" s="6" t="str">
        <f t="shared" si="31"/>
        <v>Wビット</v>
      </c>
      <c r="AA16" s="6" t="str">
        <f t="shared" si="31"/>
        <v>-</v>
      </c>
      <c r="AB16" s="6" t="str">
        <f t="shared" si="31"/>
        <v>-</v>
      </c>
      <c r="AC16" s="6" t="str">
        <f t="shared" ref="AC16:AD16" si="32">INDEX($C$5:$AD$32,COLUMN()-COLUMN($C16)+1,ROW()-ROW(AB$5)+1)</f>
        <v>ウェーブビーム</v>
      </c>
      <c r="AD16" s="6" t="str">
        <f t="shared" si="32"/>
        <v>マシンガン</v>
      </c>
    </row>
    <row r="17" spans="2:30" x14ac:dyDescent="0.15">
      <c r="B17" s="134" t="s">
        <v>336</v>
      </c>
      <c r="C17" s="7" t="s">
        <v>147</v>
      </c>
      <c r="D17" s="6" t="s">
        <v>91</v>
      </c>
      <c r="E17" s="6" t="s">
        <v>91</v>
      </c>
      <c r="F17" s="6" t="str">
        <f t="shared" si="22"/>
        <v>-</v>
      </c>
      <c r="G17" s="6" t="s">
        <v>91</v>
      </c>
      <c r="H17" s="6" t="str">
        <f t="shared" si="23"/>
        <v>-</v>
      </c>
      <c r="I17" s="6" t="s">
        <v>91</v>
      </c>
      <c r="J17" s="6" t="str">
        <f t="shared" si="27"/>
        <v>-</v>
      </c>
      <c r="K17" s="6" t="str">
        <f t="shared" si="30"/>
        <v>-</v>
      </c>
      <c r="L17" s="6" t="s">
        <v>91</v>
      </c>
      <c r="M17" s="6" t="str">
        <f t="shared" ref="M17:M32" si="33">I17</f>
        <v>-</v>
      </c>
      <c r="N17" s="6" t="s">
        <v>294</v>
      </c>
      <c r="O17" s="6" t="s">
        <v>91</v>
      </c>
      <c r="P17" s="6" t="str">
        <f t="shared" ref="P17:AB17" si="34">INDEX($C$5:$AD$32,COLUMN()-COLUMN($C17)+1,ROW()-ROW(O$5)+1)</f>
        <v>バリア</v>
      </c>
      <c r="Q17" s="6" t="str">
        <f t="shared" si="34"/>
        <v>バリア</v>
      </c>
      <c r="R17" s="6" t="str">
        <f t="shared" si="34"/>
        <v>核自爆</v>
      </c>
      <c r="S17" s="6" t="str">
        <f t="shared" si="34"/>
        <v>核自爆</v>
      </c>
      <c r="T17" s="6" t="str">
        <f t="shared" si="34"/>
        <v>-</v>
      </c>
      <c r="U17" s="6" t="str">
        <f t="shared" si="34"/>
        <v>バリア</v>
      </c>
      <c r="V17" s="6" t="str">
        <f t="shared" si="34"/>
        <v>-</v>
      </c>
      <c r="W17" s="6" t="str">
        <f t="shared" si="34"/>
        <v>-</v>
      </c>
      <c r="X17" s="6" t="str">
        <f t="shared" si="34"/>
        <v>-</v>
      </c>
      <c r="Y17" s="6" t="str">
        <f t="shared" si="34"/>
        <v>-</v>
      </c>
      <c r="Z17" s="6" t="str">
        <f t="shared" si="34"/>
        <v>-</v>
      </c>
      <c r="AA17" s="6" t="str">
        <f t="shared" si="34"/>
        <v>-</v>
      </c>
      <c r="AB17" s="6" t="str">
        <f t="shared" si="34"/>
        <v>セルフバーニング</v>
      </c>
      <c r="AC17" s="6" t="str">
        <f t="shared" ref="AC17:AD17" si="35">INDEX($C$5:$AD$32,COLUMN()-COLUMN($C17)+1,ROW()-ROW(AB$5)+1)</f>
        <v>-</v>
      </c>
      <c r="AD17" s="6" t="str">
        <f t="shared" si="35"/>
        <v>-</v>
      </c>
    </row>
    <row r="18" spans="2:30" x14ac:dyDescent="0.15">
      <c r="B18" s="135"/>
      <c r="C18" s="7" t="s">
        <v>337</v>
      </c>
      <c r="D18" s="6" t="s">
        <v>91</v>
      </c>
      <c r="E18" s="6" t="s">
        <v>91</v>
      </c>
      <c r="F18" s="6" t="str">
        <f t="shared" si="22"/>
        <v>-</v>
      </c>
      <c r="G18" s="6" t="s">
        <v>91</v>
      </c>
      <c r="H18" s="6" t="str">
        <f t="shared" si="23"/>
        <v>-</v>
      </c>
      <c r="I18" s="6" t="s">
        <v>288</v>
      </c>
      <c r="J18" s="6" t="str">
        <f t="shared" si="27"/>
        <v>-</v>
      </c>
      <c r="K18" s="6" t="str">
        <f t="shared" si="30"/>
        <v>-</v>
      </c>
      <c r="L18" s="6" t="s">
        <v>91</v>
      </c>
      <c r="M18" s="6" t="str">
        <f t="shared" si="33"/>
        <v>トゲ鉄球雨あられ</v>
      </c>
      <c r="N18" s="6" t="s">
        <v>91</v>
      </c>
      <c r="O18" s="6" t="s">
        <v>304</v>
      </c>
      <c r="P18" s="6" t="s">
        <v>302</v>
      </c>
      <c r="Q18" s="6" t="str">
        <f t="shared" ref="Q18:AB18" si="36">INDEX($C$5:$AD$32,COLUMN()-COLUMN($C18)+1,ROW()-ROW(P$5)+1)</f>
        <v>空中待機</v>
      </c>
      <c r="R18" s="6" t="str">
        <f t="shared" si="36"/>
        <v>花火ボンバー</v>
      </c>
      <c r="S18" s="6" t="str">
        <f t="shared" si="36"/>
        <v>花火ボンバー</v>
      </c>
      <c r="T18" s="6" t="str">
        <f t="shared" si="36"/>
        <v>-</v>
      </c>
      <c r="U18" s="6" t="str">
        <f t="shared" si="36"/>
        <v>バリア</v>
      </c>
      <c r="V18" s="6" t="str">
        <f t="shared" si="36"/>
        <v>-</v>
      </c>
      <c r="W18" s="6" t="str">
        <f t="shared" si="36"/>
        <v>-</v>
      </c>
      <c r="X18" s="6" t="str">
        <f t="shared" si="36"/>
        <v>-</v>
      </c>
      <c r="Y18" s="6" t="str">
        <f t="shared" si="36"/>
        <v>-</v>
      </c>
      <c r="Z18" s="6" t="str">
        <f t="shared" si="36"/>
        <v>-</v>
      </c>
      <c r="AA18" s="6" t="str">
        <f t="shared" si="36"/>
        <v>ロケットミサイル</v>
      </c>
      <c r="AB18" s="6" t="str">
        <f t="shared" si="36"/>
        <v>ナパームボム</v>
      </c>
      <c r="AC18" s="6" t="str">
        <f t="shared" ref="AC18:AD18" si="37">INDEX($C$5:$AD$32,COLUMN()-COLUMN($C18)+1,ROW()-ROW(AB$5)+1)</f>
        <v>魔貫砲</v>
      </c>
      <c r="AD18" s="6" t="str">
        <f t="shared" si="37"/>
        <v>-</v>
      </c>
    </row>
    <row r="19" spans="2:30" x14ac:dyDescent="0.15">
      <c r="B19" s="135"/>
      <c r="C19" s="7" t="s">
        <v>338</v>
      </c>
      <c r="D19" s="6" t="str">
        <f>D18</f>
        <v>-</v>
      </c>
      <c r="E19" s="6" t="str">
        <f t="shared" ref="E19:O19" si="38">E18</f>
        <v>-</v>
      </c>
      <c r="F19" s="6" t="str">
        <f t="shared" si="38"/>
        <v>-</v>
      </c>
      <c r="G19" s="6" t="str">
        <f t="shared" si="38"/>
        <v>-</v>
      </c>
      <c r="H19" s="6" t="str">
        <f t="shared" si="38"/>
        <v>-</v>
      </c>
      <c r="I19" s="6" t="str">
        <f t="shared" si="38"/>
        <v>トゲ鉄球雨あられ</v>
      </c>
      <c r="J19" s="6" t="str">
        <f t="shared" si="38"/>
        <v>-</v>
      </c>
      <c r="K19" s="6" t="str">
        <f t="shared" si="38"/>
        <v>-</v>
      </c>
      <c r="L19" s="6" t="str">
        <f t="shared" si="38"/>
        <v>-</v>
      </c>
      <c r="M19" s="6" t="str">
        <f t="shared" si="38"/>
        <v>トゲ鉄球雨あられ</v>
      </c>
      <c r="N19" s="6" t="str">
        <f t="shared" si="38"/>
        <v>-</v>
      </c>
      <c r="O19" s="6" t="str">
        <f t="shared" si="38"/>
        <v>バリア</v>
      </c>
      <c r="P19" s="6" t="s">
        <v>297</v>
      </c>
      <c r="Q19" s="6" t="s">
        <v>295</v>
      </c>
      <c r="R19" s="6" t="str">
        <f t="shared" ref="R19:AB19" si="39">INDEX($C$5:$AD$32,COLUMN()-COLUMN($C19)+1,ROW()-ROW(Q$5)+1)</f>
        <v>花火ボンバー</v>
      </c>
      <c r="S19" s="6" t="str">
        <f t="shared" si="39"/>
        <v>花火ボンバー</v>
      </c>
      <c r="T19" s="6" t="str">
        <f t="shared" si="39"/>
        <v>-</v>
      </c>
      <c r="U19" s="6" t="str">
        <f t="shared" si="39"/>
        <v>バリア</v>
      </c>
      <c r="V19" s="6" t="str">
        <f t="shared" si="39"/>
        <v>-</v>
      </c>
      <c r="W19" s="6" t="str">
        <f t="shared" si="39"/>
        <v>-</v>
      </c>
      <c r="X19" s="6" t="str">
        <f t="shared" si="39"/>
        <v>-</v>
      </c>
      <c r="Y19" s="6" t="str">
        <f t="shared" si="39"/>
        <v>-</v>
      </c>
      <c r="Z19" s="6" t="str">
        <f t="shared" si="39"/>
        <v>-</v>
      </c>
      <c r="AA19" s="6" t="str">
        <f t="shared" si="39"/>
        <v>ロケットミサイル</v>
      </c>
      <c r="AB19" s="6" t="str">
        <f t="shared" si="39"/>
        <v>ナパームボム</v>
      </c>
      <c r="AC19" s="6" t="str">
        <f t="shared" ref="AC19:AD19" si="40">INDEX($C$5:$AD$32,COLUMN()-COLUMN($C19)+1,ROW()-ROW(AB$5)+1)</f>
        <v>魔貫砲</v>
      </c>
      <c r="AD19" s="6" t="str">
        <f t="shared" si="40"/>
        <v>どっきりメカ</v>
      </c>
    </row>
    <row r="20" spans="2:30" x14ac:dyDescent="0.15">
      <c r="B20" s="135"/>
      <c r="C20" s="7" t="s">
        <v>339</v>
      </c>
      <c r="D20" s="6" t="s">
        <v>91</v>
      </c>
      <c r="E20" s="6" t="s">
        <v>91</v>
      </c>
      <c r="F20" s="6" t="str">
        <f t="shared" si="22"/>
        <v>-</v>
      </c>
      <c r="G20" s="6" t="s">
        <v>91</v>
      </c>
      <c r="H20" s="6" t="str">
        <f t="shared" si="23"/>
        <v>-</v>
      </c>
      <c r="I20" s="6" t="s">
        <v>91</v>
      </c>
      <c r="J20" s="6" t="str">
        <f t="shared" si="27"/>
        <v>-</v>
      </c>
      <c r="K20" s="6" t="str">
        <f t="shared" si="30"/>
        <v>-</v>
      </c>
      <c r="L20" s="6" t="s">
        <v>291</v>
      </c>
      <c r="M20" s="6" t="str">
        <f t="shared" si="33"/>
        <v>-</v>
      </c>
      <c r="N20" s="6" t="s">
        <v>91</v>
      </c>
      <c r="O20" s="6" t="s">
        <v>308</v>
      </c>
      <c r="P20" s="6" t="s">
        <v>318</v>
      </c>
      <c r="Q20" s="6" t="str">
        <f>P20</f>
        <v>花火ボンバー</v>
      </c>
      <c r="R20" s="6" t="s">
        <v>317</v>
      </c>
      <c r="S20" s="6" t="str">
        <f t="shared" ref="S20:AB20" si="41">INDEX($C$5:$AD$32,COLUMN()-COLUMN($C20)+1,ROW()-ROW(R$5)+1)</f>
        <v>ボンバー</v>
      </c>
      <c r="T20" s="6" t="str">
        <f t="shared" si="41"/>
        <v>-</v>
      </c>
      <c r="U20" s="6" t="str">
        <f t="shared" si="41"/>
        <v>核自爆</v>
      </c>
      <c r="V20" s="6" t="str">
        <f t="shared" si="41"/>
        <v>ころがしボム</v>
      </c>
      <c r="W20" s="6" t="str">
        <f t="shared" si="41"/>
        <v>ころがしボム</v>
      </c>
      <c r="X20" s="6" t="str">
        <f t="shared" si="41"/>
        <v>-</v>
      </c>
      <c r="Y20" s="6" t="str">
        <f t="shared" si="41"/>
        <v>-</v>
      </c>
      <c r="Z20" s="6" t="str">
        <f t="shared" si="41"/>
        <v>-</v>
      </c>
      <c r="AA20" s="6" t="str">
        <f t="shared" si="41"/>
        <v>-</v>
      </c>
      <c r="AB20" s="6" t="str">
        <f t="shared" si="41"/>
        <v>-</v>
      </c>
      <c r="AC20" s="6" t="str">
        <f t="shared" ref="AC20:AD20" si="42">INDEX($C$5:$AD$32,COLUMN()-COLUMN($C20)+1,ROW()-ROW(AB$5)+1)</f>
        <v>-</v>
      </c>
      <c r="AD20" s="6" t="str">
        <f t="shared" si="42"/>
        <v>ばらまきボム</v>
      </c>
    </row>
    <row r="21" spans="2:30" x14ac:dyDescent="0.15">
      <c r="B21" s="135"/>
      <c r="C21" s="7" t="s">
        <v>114</v>
      </c>
      <c r="D21" s="6" t="str">
        <f>D20</f>
        <v>-</v>
      </c>
      <c r="E21" s="6" t="str">
        <f t="shared" ref="E21:R21" si="43">E20</f>
        <v>-</v>
      </c>
      <c r="F21" s="6" t="str">
        <f t="shared" si="43"/>
        <v>-</v>
      </c>
      <c r="G21" s="6" t="str">
        <f t="shared" si="43"/>
        <v>-</v>
      </c>
      <c r="H21" s="6" t="str">
        <f t="shared" si="43"/>
        <v>-</v>
      </c>
      <c r="I21" s="6" t="str">
        <f t="shared" si="43"/>
        <v>-</v>
      </c>
      <c r="J21" s="6" t="str">
        <f t="shared" si="27"/>
        <v>-</v>
      </c>
      <c r="K21" s="6" t="str">
        <f t="shared" si="43"/>
        <v>-</v>
      </c>
      <c r="L21" s="6" t="str">
        <f t="shared" si="43"/>
        <v>爆裂パンチ</v>
      </c>
      <c r="M21" s="6" t="str">
        <f t="shared" si="43"/>
        <v>-</v>
      </c>
      <c r="N21" s="6" t="str">
        <f t="shared" si="43"/>
        <v>-</v>
      </c>
      <c r="O21" s="6" t="str">
        <f t="shared" si="43"/>
        <v>核自爆</v>
      </c>
      <c r="P21" s="6" t="str">
        <f t="shared" si="43"/>
        <v>花火ボンバー</v>
      </c>
      <c r="Q21" s="6" t="str">
        <f t="shared" si="43"/>
        <v>花火ボンバー</v>
      </c>
      <c r="R21" s="6" t="str">
        <f t="shared" si="43"/>
        <v>ボンバー</v>
      </c>
      <c r="S21" s="6" t="str">
        <f>R20</f>
        <v>ボンバー</v>
      </c>
      <c r="T21" s="6" t="str">
        <f t="shared" ref="T21:AB21" si="44">INDEX($C$5:$AD$32,COLUMN()-COLUMN($C21)+1,ROW()-ROW(S$5)+1)</f>
        <v>-</v>
      </c>
      <c r="U21" s="6" t="str">
        <f t="shared" si="44"/>
        <v>核自爆</v>
      </c>
      <c r="V21" s="6" t="str">
        <f t="shared" si="44"/>
        <v>ころがしボム</v>
      </c>
      <c r="W21" s="6" t="str">
        <f t="shared" si="44"/>
        <v>ころがしボム</v>
      </c>
      <c r="X21" s="6" t="str">
        <f t="shared" si="44"/>
        <v>-</v>
      </c>
      <c r="Y21" s="6" t="str">
        <f t="shared" si="44"/>
        <v>-</v>
      </c>
      <c r="Z21" s="6" t="str">
        <f t="shared" si="44"/>
        <v>-</v>
      </c>
      <c r="AA21" s="6" t="str">
        <f t="shared" si="44"/>
        <v>-</v>
      </c>
      <c r="AB21" s="6" t="str">
        <f t="shared" si="44"/>
        <v>波動砲</v>
      </c>
      <c r="AC21" s="6" t="str">
        <f t="shared" ref="AC21:AD21" si="45">INDEX($C$5:$AD$32,COLUMN()-COLUMN($C21)+1,ROW()-ROW(AB$5)+1)</f>
        <v>拡散波動砲</v>
      </c>
      <c r="AD21" s="6" t="str">
        <f t="shared" si="45"/>
        <v>ばらまきボム</v>
      </c>
    </row>
    <row r="22" spans="2:30" x14ac:dyDescent="0.15">
      <c r="B22" s="135"/>
      <c r="C22" s="7" t="s">
        <v>340</v>
      </c>
      <c r="D22" s="6" t="s">
        <v>91</v>
      </c>
      <c r="E22" s="6" t="s">
        <v>91</v>
      </c>
      <c r="F22" s="6" t="str">
        <f t="shared" si="22"/>
        <v>-</v>
      </c>
      <c r="G22" s="6" t="s">
        <v>284</v>
      </c>
      <c r="H22" s="6" t="str">
        <f t="shared" si="23"/>
        <v>チェーンソー回し</v>
      </c>
      <c r="I22" s="6" t="s">
        <v>289</v>
      </c>
      <c r="J22" s="6" t="str">
        <f t="shared" si="27"/>
        <v>-</v>
      </c>
      <c r="K22" s="6" t="str">
        <f t="shared" si="30"/>
        <v>-</v>
      </c>
      <c r="L22" s="6" t="s">
        <v>91</v>
      </c>
      <c r="M22" s="6" t="str">
        <f t="shared" si="33"/>
        <v>大車輪トゲ鉄球</v>
      </c>
      <c r="N22" s="6" t="s">
        <v>91</v>
      </c>
      <c r="O22" s="6" t="s">
        <v>91</v>
      </c>
      <c r="P22" s="6" t="s">
        <v>91</v>
      </c>
      <c r="Q22" s="6" t="str">
        <f t="shared" ref="Q22:Q31" si="46">P22</f>
        <v>-</v>
      </c>
      <c r="R22" s="6" t="s">
        <v>91</v>
      </c>
      <c r="S22" s="6" t="str">
        <f>R22</f>
        <v>-</v>
      </c>
      <c r="T22" s="6" t="s">
        <v>301</v>
      </c>
      <c r="U22" s="6" t="str">
        <f t="shared" ref="U22:AB22" si="47">INDEX($C$5:$AD$32,COLUMN()-COLUMN($C22)+1,ROW()-ROW(T$5)+1)</f>
        <v>-</v>
      </c>
      <c r="V22" s="6" t="str">
        <f t="shared" si="47"/>
        <v>トゲボディスピン</v>
      </c>
      <c r="W22" s="6" t="str">
        <f t="shared" si="47"/>
        <v>トゲボディスピン</v>
      </c>
      <c r="X22" s="6" t="str">
        <f t="shared" si="47"/>
        <v>ガードトゲボディ</v>
      </c>
      <c r="Y22" s="6" t="str">
        <f t="shared" si="47"/>
        <v>ビットバリア</v>
      </c>
      <c r="Z22" s="6" t="str">
        <f t="shared" si="47"/>
        <v>ビットバリア</v>
      </c>
      <c r="AA22" s="6" t="str">
        <f t="shared" si="47"/>
        <v>-</v>
      </c>
      <c r="AB22" s="6" t="str">
        <f t="shared" si="47"/>
        <v>-</v>
      </c>
      <c r="AC22" s="6" t="str">
        <f t="shared" ref="AC22:AD22" si="48">INDEX($C$5:$AD$32,COLUMN()-COLUMN($C22)+1,ROW()-ROW(AB$5)+1)</f>
        <v>-</v>
      </c>
      <c r="AD22" s="6" t="str">
        <f t="shared" si="48"/>
        <v>拡散ビーム</v>
      </c>
    </row>
    <row r="23" spans="2:30" x14ac:dyDescent="0.15">
      <c r="B23" s="135"/>
      <c r="C23" s="7" t="s">
        <v>153</v>
      </c>
      <c r="D23" s="6" t="str">
        <f>D17</f>
        <v>-</v>
      </c>
      <c r="E23" s="6" t="str">
        <f t="shared" ref="E23:T23" si="49">E17</f>
        <v>-</v>
      </c>
      <c r="F23" s="6" t="str">
        <f t="shared" si="49"/>
        <v>-</v>
      </c>
      <c r="G23" s="6" t="str">
        <f t="shared" si="49"/>
        <v>-</v>
      </c>
      <c r="H23" s="6" t="str">
        <f t="shared" si="49"/>
        <v>-</v>
      </c>
      <c r="I23" s="6" t="str">
        <f t="shared" si="49"/>
        <v>-</v>
      </c>
      <c r="J23" s="6" t="str">
        <f t="shared" si="49"/>
        <v>-</v>
      </c>
      <c r="K23" s="6" t="str">
        <f t="shared" si="49"/>
        <v>-</v>
      </c>
      <c r="L23" s="6" t="str">
        <f t="shared" si="49"/>
        <v>-</v>
      </c>
      <c r="M23" s="6" t="str">
        <f t="shared" si="49"/>
        <v>-</v>
      </c>
      <c r="N23" s="6" t="str">
        <f t="shared" si="49"/>
        <v>ネットショット</v>
      </c>
      <c r="O23" s="6" t="s">
        <v>304</v>
      </c>
      <c r="P23" s="6" t="str">
        <f t="shared" si="49"/>
        <v>バリア</v>
      </c>
      <c r="Q23" s="6" t="str">
        <f t="shared" si="49"/>
        <v>バリア</v>
      </c>
      <c r="R23" s="6" t="str">
        <f t="shared" si="49"/>
        <v>核自爆</v>
      </c>
      <c r="S23" s="6" t="str">
        <f t="shared" si="49"/>
        <v>核自爆</v>
      </c>
      <c r="T23" s="6" t="str">
        <f t="shared" si="49"/>
        <v>-</v>
      </c>
      <c r="U23" s="6" t="str">
        <f>O17</f>
        <v>-</v>
      </c>
      <c r="V23" s="6" t="str">
        <f t="shared" ref="V23:AB23" si="50">INDEX($C$5:$AD$32,COLUMN()-COLUMN($C23)+1,ROW()-ROW(U$5)+1)</f>
        <v>-</v>
      </c>
      <c r="W23" s="6" t="str">
        <f t="shared" si="50"/>
        <v>-</v>
      </c>
      <c r="X23" s="6" t="str">
        <f t="shared" si="50"/>
        <v>-</v>
      </c>
      <c r="Y23" s="6" t="str">
        <f t="shared" si="50"/>
        <v>-</v>
      </c>
      <c r="Z23" s="6" t="str">
        <f t="shared" si="50"/>
        <v>-</v>
      </c>
      <c r="AA23" s="6" t="str">
        <f t="shared" si="50"/>
        <v>-</v>
      </c>
      <c r="AB23" s="6" t="str">
        <f t="shared" si="50"/>
        <v>セルフバーニング</v>
      </c>
      <c r="AC23" s="6" t="str">
        <f t="shared" ref="AC23:AD23" si="51">INDEX($C$5:$AD$32,COLUMN()-COLUMN($C23)+1,ROW()-ROW(AB$5)+1)</f>
        <v>-</v>
      </c>
      <c r="AD23" s="6" t="str">
        <f t="shared" si="51"/>
        <v>-</v>
      </c>
    </row>
    <row r="24" spans="2:30" x14ac:dyDescent="0.15">
      <c r="B24" s="135"/>
      <c r="C24" s="7" t="s">
        <v>341</v>
      </c>
      <c r="D24" s="6" t="s">
        <v>91</v>
      </c>
      <c r="E24" s="6" t="s">
        <v>91</v>
      </c>
      <c r="F24" s="6" t="str">
        <f t="shared" si="22"/>
        <v>-</v>
      </c>
      <c r="G24" s="6" t="s">
        <v>91</v>
      </c>
      <c r="H24" s="6" t="str">
        <f t="shared" si="23"/>
        <v>-</v>
      </c>
      <c r="I24" s="6" t="s">
        <v>91</v>
      </c>
      <c r="J24" s="6" t="str">
        <f t="shared" si="27"/>
        <v>-</v>
      </c>
      <c r="K24" s="6" t="str">
        <f t="shared" si="30"/>
        <v>-</v>
      </c>
      <c r="L24" s="6" t="s">
        <v>91</v>
      </c>
      <c r="M24" s="6" t="str">
        <f t="shared" si="33"/>
        <v>-</v>
      </c>
      <c r="N24" s="6" t="s">
        <v>91</v>
      </c>
      <c r="O24" s="6" t="s">
        <v>91</v>
      </c>
      <c r="P24" s="6" t="s">
        <v>91</v>
      </c>
      <c r="Q24" s="6" t="str">
        <f t="shared" si="46"/>
        <v>-</v>
      </c>
      <c r="R24" s="6" t="s">
        <v>319</v>
      </c>
      <c r="S24" s="6" t="str">
        <f t="shared" ref="S24:S32" si="52">R24</f>
        <v>ころがしボム</v>
      </c>
      <c r="T24" s="6" t="s">
        <v>300</v>
      </c>
      <c r="U24" s="6" t="str">
        <f>O24</f>
        <v>-</v>
      </c>
      <c r="V24" s="6" t="s">
        <v>91</v>
      </c>
      <c r="W24" s="6" t="str">
        <f t="shared" ref="W24:AB24" si="53">INDEX($C$5:$AD$32,COLUMN()-COLUMN($C24)+1,ROW()-ROW(V$5)+1)</f>
        <v>バックダッシュ</v>
      </c>
      <c r="X24" s="6" t="str">
        <f t="shared" si="53"/>
        <v>トゲボディスピン</v>
      </c>
      <c r="Y24" s="6" t="str">
        <f t="shared" si="53"/>
        <v>-</v>
      </c>
      <c r="Z24" s="6" t="str">
        <f t="shared" si="53"/>
        <v>-</v>
      </c>
      <c r="AA24" s="6" t="str">
        <f t="shared" si="53"/>
        <v>ロケットダッシュ</v>
      </c>
      <c r="AB24" s="6" t="str">
        <f t="shared" si="53"/>
        <v>-</v>
      </c>
      <c r="AC24" s="6" t="str">
        <f t="shared" ref="AC24:AD24" si="54">INDEX($C$5:$AD$32,COLUMN()-COLUMN($C24)+1,ROW()-ROW(AB$5)+1)</f>
        <v>-</v>
      </c>
      <c r="AD24" s="6" t="str">
        <f t="shared" si="54"/>
        <v>-</v>
      </c>
    </row>
    <row r="25" spans="2:30" x14ac:dyDescent="0.15">
      <c r="B25" s="135"/>
      <c r="C25" s="7" t="s">
        <v>342</v>
      </c>
      <c r="D25" s="6" t="str">
        <f>D24</f>
        <v>-</v>
      </c>
      <c r="E25" s="6" t="str">
        <f t="shared" ref="E25:T25" si="55">E24</f>
        <v>-</v>
      </c>
      <c r="F25" s="6" t="str">
        <f t="shared" si="55"/>
        <v>-</v>
      </c>
      <c r="G25" s="6" t="str">
        <f t="shared" si="55"/>
        <v>-</v>
      </c>
      <c r="H25" s="6" t="str">
        <f t="shared" si="55"/>
        <v>-</v>
      </c>
      <c r="I25" s="6" t="str">
        <f t="shared" si="55"/>
        <v>-</v>
      </c>
      <c r="J25" s="6" t="str">
        <f t="shared" si="27"/>
        <v>-</v>
      </c>
      <c r="K25" s="6" t="str">
        <f t="shared" si="55"/>
        <v>-</v>
      </c>
      <c r="L25" s="6" t="str">
        <f t="shared" si="55"/>
        <v>-</v>
      </c>
      <c r="M25" s="6" t="str">
        <f t="shared" si="55"/>
        <v>-</v>
      </c>
      <c r="N25" s="6" t="str">
        <f t="shared" si="55"/>
        <v>-</v>
      </c>
      <c r="O25" s="6" t="str">
        <f t="shared" si="55"/>
        <v>-</v>
      </c>
      <c r="P25" s="6" t="str">
        <f t="shared" si="55"/>
        <v>-</v>
      </c>
      <c r="Q25" s="6" t="str">
        <f t="shared" si="55"/>
        <v>-</v>
      </c>
      <c r="R25" s="6" t="str">
        <f t="shared" si="55"/>
        <v>ころがしボム</v>
      </c>
      <c r="S25" s="6" t="str">
        <f t="shared" si="55"/>
        <v>ころがしボム</v>
      </c>
      <c r="T25" s="6" t="str">
        <f t="shared" si="55"/>
        <v>トゲボディスピン</v>
      </c>
      <c r="U25" s="6" t="str">
        <f t="shared" ref="U25:U32" si="56">O25</f>
        <v>-</v>
      </c>
      <c r="V25" s="6" t="s">
        <v>298</v>
      </c>
      <c r="W25" s="6" t="str">
        <f>V24</f>
        <v>-</v>
      </c>
      <c r="X25" s="6" t="str">
        <f t="shared" ref="X25:AB25" si="57">INDEX($C$5:$AD$32,COLUMN()-COLUMN($C25)+1,ROW()-ROW(W$5)+1)</f>
        <v>トゲボディスピン</v>
      </c>
      <c r="Y25" s="6" t="str">
        <f t="shared" si="57"/>
        <v>-</v>
      </c>
      <c r="Z25" s="6" t="str">
        <f t="shared" si="57"/>
        <v>-</v>
      </c>
      <c r="AA25" s="6" t="str">
        <f t="shared" si="57"/>
        <v>ロケットダッシュ</v>
      </c>
      <c r="AB25" s="6" t="str">
        <f t="shared" si="57"/>
        <v>-</v>
      </c>
      <c r="AC25" s="6" t="str">
        <f t="shared" ref="AC25:AD25" si="58">INDEX($C$5:$AD$32,COLUMN()-COLUMN($C25)+1,ROW()-ROW(AB$5)+1)</f>
        <v>-</v>
      </c>
      <c r="AD25" s="6" t="str">
        <f t="shared" si="58"/>
        <v>-</v>
      </c>
    </row>
    <row r="26" spans="2:30" x14ac:dyDescent="0.15">
      <c r="B26" s="135"/>
      <c r="C26" s="7" t="s">
        <v>343</v>
      </c>
      <c r="D26" s="6" t="str">
        <f>D22</f>
        <v>-</v>
      </c>
      <c r="E26" s="6" t="str">
        <f t="shared" ref="E26:W26" si="59">E22</f>
        <v>-</v>
      </c>
      <c r="F26" s="6" t="str">
        <f t="shared" si="59"/>
        <v>-</v>
      </c>
      <c r="G26" s="6" t="str">
        <f t="shared" si="59"/>
        <v>チェーンソー回し</v>
      </c>
      <c r="H26" s="6" t="str">
        <f t="shared" si="59"/>
        <v>チェーンソー回し</v>
      </c>
      <c r="I26" s="6" t="str">
        <f t="shared" si="59"/>
        <v>大車輪トゲ鉄球</v>
      </c>
      <c r="J26" s="6" t="str">
        <f t="shared" si="27"/>
        <v>-</v>
      </c>
      <c r="K26" s="6" t="str">
        <f t="shared" si="59"/>
        <v>-</v>
      </c>
      <c r="L26" s="6" t="str">
        <f t="shared" si="59"/>
        <v>-</v>
      </c>
      <c r="M26" s="6" t="str">
        <f t="shared" si="59"/>
        <v>大車輪トゲ鉄球</v>
      </c>
      <c r="N26" s="6" t="str">
        <f t="shared" si="59"/>
        <v>-</v>
      </c>
      <c r="O26" s="6" t="str">
        <f t="shared" si="59"/>
        <v>-</v>
      </c>
      <c r="P26" s="6" t="str">
        <f t="shared" si="59"/>
        <v>-</v>
      </c>
      <c r="Q26" s="6" t="str">
        <f t="shared" si="59"/>
        <v>-</v>
      </c>
      <c r="R26" s="6" t="str">
        <f t="shared" si="59"/>
        <v>-</v>
      </c>
      <c r="S26" s="6" t="str">
        <f t="shared" si="59"/>
        <v>-</v>
      </c>
      <c r="T26" s="6" t="str">
        <f t="shared" si="59"/>
        <v>ガードトゲボディ</v>
      </c>
      <c r="U26" s="6" t="str">
        <f t="shared" si="56"/>
        <v>-</v>
      </c>
      <c r="V26" s="6" t="str">
        <f t="shared" si="59"/>
        <v>トゲボディスピン</v>
      </c>
      <c r="W26" s="6" t="str">
        <f t="shared" si="59"/>
        <v>トゲボディスピン</v>
      </c>
      <c r="X26" s="6" t="str">
        <f>T22</f>
        <v>ガードトゲボディ</v>
      </c>
      <c r="Y26" s="6" t="str">
        <f t="shared" ref="Y26:AB27" si="60">INDEX($C$5:$AD$32,COLUMN()-COLUMN($C26)+1,ROW()-ROW(X$5)+1)</f>
        <v>ビットバリア</v>
      </c>
      <c r="Z26" s="6" t="str">
        <f t="shared" si="60"/>
        <v>ビットバリア</v>
      </c>
      <c r="AA26" s="6" t="str">
        <f t="shared" si="60"/>
        <v>-</v>
      </c>
      <c r="AB26" s="6" t="str">
        <f t="shared" si="60"/>
        <v>-</v>
      </c>
      <c r="AC26" s="6" t="str">
        <f t="shared" ref="AC26:AD26" si="61">INDEX($C$5:$AD$32,COLUMN()-COLUMN($C26)+1,ROW()-ROW(AB$5)+1)</f>
        <v>-</v>
      </c>
      <c r="AD26" s="6" t="str">
        <f t="shared" si="61"/>
        <v>-</v>
      </c>
    </row>
    <row r="27" spans="2:30" x14ac:dyDescent="0.15">
      <c r="B27" s="135"/>
      <c r="C27" s="7" t="s">
        <v>344</v>
      </c>
      <c r="D27" s="6" t="s">
        <v>91</v>
      </c>
      <c r="E27" s="6" t="s">
        <v>91</v>
      </c>
      <c r="F27" s="6" t="str">
        <f t="shared" si="22"/>
        <v>-</v>
      </c>
      <c r="G27" s="6" t="s">
        <v>91</v>
      </c>
      <c r="H27" s="6" t="str">
        <f t="shared" si="23"/>
        <v>-</v>
      </c>
      <c r="I27" s="6" t="s">
        <v>306</v>
      </c>
      <c r="J27" s="6" t="str">
        <f t="shared" si="27"/>
        <v>-</v>
      </c>
      <c r="K27" s="6" t="str">
        <f t="shared" si="30"/>
        <v>-</v>
      </c>
      <c r="L27" s="6" t="s">
        <v>91</v>
      </c>
      <c r="M27" s="6" t="str">
        <f t="shared" si="33"/>
        <v>まんまるドロップ</v>
      </c>
      <c r="N27" s="6" t="s">
        <v>313</v>
      </c>
      <c r="O27" s="6" t="s">
        <v>91</v>
      </c>
      <c r="P27" s="6" t="s">
        <v>91</v>
      </c>
      <c r="Q27" s="6" t="str">
        <f t="shared" si="46"/>
        <v>-</v>
      </c>
      <c r="R27" s="6" t="s">
        <v>91</v>
      </c>
      <c r="S27" s="6" t="str">
        <f t="shared" si="52"/>
        <v>-</v>
      </c>
      <c r="T27" s="6" t="s">
        <v>314</v>
      </c>
      <c r="U27" s="6" t="str">
        <f t="shared" si="56"/>
        <v>-</v>
      </c>
      <c r="V27" s="6" t="s">
        <v>91</v>
      </c>
      <c r="W27" s="6" t="str">
        <f t="shared" ref="W27:W32" si="62">V27</f>
        <v>-</v>
      </c>
      <c r="X27" s="6" t="str">
        <f>T27</f>
        <v>ビットバリア</v>
      </c>
      <c r="Y27" s="6" t="s">
        <v>312</v>
      </c>
      <c r="Z27" s="6" t="str">
        <f t="shared" si="60"/>
        <v>ビット</v>
      </c>
      <c r="AA27" s="6" t="str">
        <f t="shared" si="60"/>
        <v>-</v>
      </c>
      <c r="AB27" s="6" t="str">
        <f t="shared" si="60"/>
        <v>-</v>
      </c>
      <c r="AC27" s="6" t="str">
        <f t="shared" ref="AC27:AD27" si="63">INDEX($C$5:$AD$32,COLUMN()-COLUMN($C27)+1,ROW()-ROW(AB$5)+1)</f>
        <v>-</v>
      </c>
      <c r="AD27" s="6" t="str">
        <f t="shared" si="63"/>
        <v>-</v>
      </c>
    </row>
    <row r="28" spans="2:30" x14ac:dyDescent="0.15">
      <c r="B28" s="135"/>
      <c r="C28" s="7" t="s">
        <v>345</v>
      </c>
      <c r="D28" s="6" t="str">
        <f>D27</f>
        <v>-</v>
      </c>
      <c r="E28" s="6" t="str">
        <f t="shared" ref="E28:Y28" si="64">E27</f>
        <v>-</v>
      </c>
      <c r="F28" s="6" t="str">
        <f t="shared" si="64"/>
        <v>-</v>
      </c>
      <c r="G28" s="6" t="str">
        <f t="shared" si="64"/>
        <v>-</v>
      </c>
      <c r="H28" s="6" t="str">
        <f t="shared" si="64"/>
        <v>-</v>
      </c>
      <c r="I28" s="6" t="str">
        <f t="shared" si="64"/>
        <v>まんまるドロップ</v>
      </c>
      <c r="J28" s="6" t="str">
        <f t="shared" si="27"/>
        <v>-</v>
      </c>
      <c r="K28" s="6" t="str">
        <f t="shared" si="64"/>
        <v>-</v>
      </c>
      <c r="L28" s="6" t="str">
        <f t="shared" si="64"/>
        <v>-</v>
      </c>
      <c r="M28" s="6" t="str">
        <f t="shared" si="64"/>
        <v>まんまるドロップ</v>
      </c>
      <c r="N28" s="6" t="str">
        <f t="shared" si="64"/>
        <v>Wビット</v>
      </c>
      <c r="O28" s="6" t="str">
        <f t="shared" si="64"/>
        <v>-</v>
      </c>
      <c r="P28" s="6" t="str">
        <f t="shared" si="64"/>
        <v>-</v>
      </c>
      <c r="Q28" s="6" t="str">
        <f t="shared" si="64"/>
        <v>-</v>
      </c>
      <c r="R28" s="6" t="str">
        <f t="shared" si="64"/>
        <v>-</v>
      </c>
      <c r="S28" s="6" t="str">
        <f t="shared" si="64"/>
        <v>-</v>
      </c>
      <c r="T28" s="6" t="str">
        <f t="shared" si="64"/>
        <v>ビットバリア</v>
      </c>
      <c r="U28" s="6" t="str">
        <f t="shared" si="56"/>
        <v>-</v>
      </c>
      <c r="V28" s="6" t="str">
        <f t="shared" si="64"/>
        <v>-</v>
      </c>
      <c r="W28" s="6" t="str">
        <f t="shared" si="64"/>
        <v>-</v>
      </c>
      <c r="X28" s="6" t="str">
        <f t="shared" si="64"/>
        <v>ビットバリア</v>
      </c>
      <c r="Y28" s="6" t="str">
        <f t="shared" si="64"/>
        <v>ビット</v>
      </c>
      <c r="Z28" s="6" t="str">
        <f>Y27</f>
        <v>ビット</v>
      </c>
      <c r="AA28" s="6" t="str">
        <f t="shared" ref="AA28:AB28" si="65">INDEX($C$5:$AD$32,COLUMN()-COLUMN($C28)+1,ROW()-ROW(Z$5)+1)</f>
        <v>-</v>
      </c>
      <c r="AB28" s="6" t="str">
        <f t="shared" si="65"/>
        <v>-</v>
      </c>
      <c r="AC28" s="6" t="str">
        <f t="shared" ref="AC28:AD28" si="66">INDEX($C$5:$AD$32,COLUMN()-COLUMN($C28)+1,ROW()-ROW(AB$5)+1)</f>
        <v>-</v>
      </c>
      <c r="AD28" s="6" t="str">
        <f t="shared" si="66"/>
        <v>-</v>
      </c>
    </row>
    <row r="29" spans="2:30" x14ac:dyDescent="0.15">
      <c r="B29" s="136" t="s">
        <v>346</v>
      </c>
      <c r="C29" s="7" t="s">
        <v>347</v>
      </c>
      <c r="D29" s="6" t="s">
        <v>280</v>
      </c>
      <c r="E29" s="6" t="s">
        <v>91</v>
      </c>
      <c r="F29" s="6" t="str">
        <f t="shared" si="22"/>
        <v>-</v>
      </c>
      <c r="G29" s="6" t="s">
        <v>91</v>
      </c>
      <c r="H29" s="6" t="str">
        <f t="shared" si="23"/>
        <v>-</v>
      </c>
      <c r="I29" s="6" t="s">
        <v>91</v>
      </c>
      <c r="J29" s="6" t="str">
        <f t="shared" si="27"/>
        <v>ドリルロケット</v>
      </c>
      <c r="K29" s="6" t="str">
        <f t="shared" si="30"/>
        <v>ドリルロケット</v>
      </c>
      <c r="L29" s="6" t="s">
        <v>292</v>
      </c>
      <c r="M29" s="6" t="str">
        <f t="shared" si="33"/>
        <v>-</v>
      </c>
      <c r="N29" s="6" t="s">
        <v>91</v>
      </c>
      <c r="O29" s="6" t="s">
        <v>91</v>
      </c>
      <c r="P29" s="6" t="s">
        <v>324</v>
      </c>
      <c r="Q29" s="6" t="str">
        <f t="shared" si="46"/>
        <v>ロケットミサイル</v>
      </c>
      <c r="R29" s="6" t="s">
        <v>91</v>
      </c>
      <c r="S29" s="6" t="str">
        <f t="shared" si="52"/>
        <v>-</v>
      </c>
      <c r="T29" s="6" t="s">
        <v>91</v>
      </c>
      <c r="U29" s="6" t="str">
        <f t="shared" si="56"/>
        <v>-</v>
      </c>
      <c r="V29" s="6" t="s">
        <v>299</v>
      </c>
      <c r="W29" s="6" t="str">
        <f t="shared" si="62"/>
        <v>ロケットダッシュ</v>
      </c>
      <c r="X29" s="6" t="str">
        <f t="shared" ref="X29:X31" si="67">T29</f>
        <v>-</v>
      </c>
      <c r="Y29" s="6" t="s">
        <v>91</v>
      </c>
      <c r="Z29" s="6" t="str">
        <f>Y29</f>
        <v>-</v>
      </c>
      <c r="AA29" s="6" t="s">
        <v>322</v>
      </c>
      <c r="AB29" s="6" t="str">
        <f t="shared" ref="AB29" si="68">INDEX($C$5:$AD$32,COLUMN()-COLUMN($C29)+1,ROW()-ROW(AA$5)+1)</f>
        <v>多弾頭ミサイル</v>
      </c>
      <c r="AC29" s="6" t="str">
        <f t="shared" ref="AC29:AD29" si="69">INDEX($C$5:$AD$32,COLUMN()-COLUMN($C29)+1,ROW()-ROW(AB$5)+1)</f>
        <v>-</v>
      </c>
      <c r="AD29" s="6" t="str">
        <f t="shared" si="69"/>
        <v>-</v>
      </c>
    </row>
    <row r="30" spans="2:30" x14ac:dyDescent="0.15">
      <c r="B30" s="137"/>
      <c r="C30" s="7" t="s">
        <v>348</v>
      </c>
      <c r="D30" s="6" t="s">
        <v>91</v>
      </c>
      <c r="E30" s="6" t="s">
        <v>91</v>
      </c>
      <c r="F30" s="6" t="str">
        <f t="shared" si="22"/>
        <v>-</v>
      </c>
      <c r="G30" s="6" t="s">
        <v>91</v>
      </c>
      <c r="H30" s="6" t="str">
        <f t="shared" si="23"/>
        <v>-</v>
      </c>
      <c r="I30" s="6" t="s">
        <v>91</v>
      </c>
      <c r="J30" s="6" t="str">
        <f t="shared" si="27"/>
        <v>-</v>
      </c>
      <c r="K30" s="6" t="str">
        <f t="shared" si="30"/>
        <v>-</v>
      </c>
      <c r="L30" s="6" t="s">
        <v>91</v>
      </c>
      <c r="M30" s="6" t="str">
        <f t="shared" si="33"/>
        <v>-</v>
      </c>
      <c r="N30" s="6" t="s">
        <v>91</v>
      </c>
      <c r="O30" s="6" t="s">
        <v>305</v>
      </c>
      <c r="P30" s="6" t="s">
        <v>321</v>
      </c>
      <c r="Q30" s="6" t="str">
        <f t="shared" si="46"/>
        <v>ナパームボム</v>
      </c>
      <c r="R30" s="6" t="s">
        <v>91</v>
      </c>
      <c r="S30" s="6" t="s">
        <v>329</v>
      </c>
      <c r="T30" s="6" t="s">
        <v>91</v>
      </c>
      <c r="U30" s="6" t="str">
        <f t="shared" si="56"/>
        <v>セルフバーニング</v>
      </c>
      <c r="V30" s="6" t="s">
        <v>91</v>
      </c>
      <c r="W30" s="6" t="str">
        <f t="shared" si="62"/>
        <v>-</v>
      </c>
      <c r="X30" s="6" t="str">
        <f t="shared" si="67"/>
        <v>-</v>
      </c>
      <c r="Y30" s="6" t="s">
        <v>91</v>
      </c>
      <c r="Z30" s="6" t="str">
        <f t="shared" ref="Z30:Z32" si="70">Y30</f>
        <v>-</v>
      </c>
      <c r="AA30" s="6" t="s">
        <v>323</v>
      </c>
      <c r="AB30" s="6" t="s">
        <v>315</v>
      </c>
      <c r="AC30" s="6" t="str">
        <f t="shared" ref="AC30:AD30" si="71">INDEX($C$5:$AD$32,COLUMN()-COLUMN($C30)+1,ROW()-ROW(AB$5)+1)</f>
        <v>拡散ビーム</v>
      </c>
      <c r="AD30" s="6" t="str">
        <f t="shared" si="71"/>
        <v>旋風火炎放射</v>
      </c>
    </row>
    <row r="31" spans="2:30" x14ac:dyDescent="0.15">
      <c r="B31" s="137"/>
      <c r="C31" s="7" t="s">
        <v>349</v>
      </c>
      <c r="D31" s="6" t="s">
        <v>91</v>
      </c>
      <c r="E31" s="6" t="s">
        <v>91</v>
      </c>
      <c r="F31" s="6" t="str">
        <f t="shared" si="22"/>
        <v>-</v>
      </c>
      <c r="G31" s="6" t="s">
        <v>91</v>
      </c>
      <c r="H31" s="6" t="str">
        <f t="shared" si="23"/>
        <v>-</v>
      </c>
      <c r="I31" s="6" t="s">
        <v>91</v>
      </c>
      <c r="J31" s="6" t="str">
        <f t="shared" si="27"/>
        <v>-</v>
      </c>
      <c r="K31" s="6" t="str">
        <f t="shared" si="30"/>
        <v>-</v>
      </c>
      <c r="L31" s="6" t="s">
        <v>91</v>
      </c>
      <c r="M31" s="6" t="str">
        <f t="shared" si="33"/>
        <v>-</v>
      </c>
      <c r="N31" s="6" t="s">
        <v>326</v>
      </c>
      <c r="O31" s="6" t="s">
        <v>91</v>
      </c>
      <c r="P31" s="6" t="s">
        <v>328</v>
      </c>
      <c r="Q31" s="6" t="str">
        <f t="shared" si="46"/>
        <v>魔貫砲</v>
      </c>
      <c r="R31" s="6" t="s">
        <v>91</v>
      </c>
      <c r="S31" s="6" t="s">
        <v>330</v>
      </c>
      <c r="T31" s="6" t="s">
        <v>91</v>
      </c>
      <c r="U31" s="6" t="str">
        <f t="shared" si="56"/>
        <v>-</v>
      </c>
      <c r="V31" s="6" t="s">
        <v>91</v>
      </c>
      <c r="W31" s="6" t="str">
        <f t="shared" si="62"/>
        <v>-</v>
      </c>
      <c r="X31" s="6" t="str">
        <f t="shared" si="67"/>
        <v>-</v>
      </c>
      <c r="Y31" s="6" t="s">
        <v>91</v>
      </c>
      <c r="Z31" s="6" t="str">
        <f t="shared" si="70"/>
        <v>-</v>
      </c>
      <c r="AA31" s="6" t="s">
        <v>91</v>
      </c>
      <c r="AB31" s="6" t="s">
        <v>327</v>
      </c>
      <c r="AC31" s="6" t="s">
        <v>325</v>
      </c>
      <c r="AD31" s="6" t="str">
        <f t="shared" ref="AD31" si="72">INDEX($C$5:$AD$32,COLUMN()-COLUMN($C31)+1,ROW()-ROW(AC$5)+1)</f>
        <v>放電</v>
      </c>
    </row>
    <row r="32" spans="2:30" x14ac:dyDescent="0.15">
      <c r="B32" s="138"/>
      <c r="C32" s="7" t="s">
        <v>350</v>
      </c>
      <c r="D32" s="6" t="s">
        <v>91</v>
      </c>
      <c r="E32" s="6" t="s">
        <v>283</v>
      </c>
      <c r="F32" s="6" t="str">
        <f t="shared" si="22"/>
        <v>竜巻ギロチン</v>
      </c>
      <c r="G32" s="6" t="s">
        <v>91</v>
      </c>
      <c r="H32" s="6" t="str">
        <f t="shared" si="23"/>
        <v>-</v>
      </c>
      <c r="I32" s="6" t="s">
        <v>91</v>
      </c>
      <c r="J32" s="6" t="str">
        <f t="shared" si="27"/>
        <v>-</v>
      </c>
      <c r="K32" s="6" t="str">
        <f t="shared" si="30"/>
        <v>-</v>
      </c>
      <c r="L32" s="6" t="s">
        <v>91</v>
      </c>
      <c r="M32" s="6" t="str">
        <f t="shared" si="33"/>
        <v>-</v>
      </c>
      <c r="N32" s="6" t="s">
        <v>293</v>
      </c>
      <c r="O32" s="6" t="s">
        <v>91</v>
      </c>
      <c r="P32" s="6" t="s">
        <v>91</v>
      </c>
      <c r="Q32" s="6" t="s">
        <v>311</v>
      </c>
      <c r="R32" s="6" t="s">
        <v>320</v>
      </c>
      <c r="S32" s="6" t="str">
        <f t="shared" si="52"/>
        <v>ばらまきボム</v>
      </c>
      <c r="T32" s="6" t="s">
        <v>327</v>
      </c>
      <c r="U32" s="6" t="str">
        <f t="shared" si="56"/>
        <v>-</v>
      </c>
      <c r="V32" s="6" t="s">
        <v>91</v>
      </c>
      <c r="W32" s="6" t="str">
        <f t="shared" si="62"/>
        <v>-</v>
      </c>
      <c r="X32" s="6" t="s">
        <v>91</v>
      </c>
      <c r="Y32" s="6" t="s">
        <v>91</v>
      </c>
      <c r="Z32" s="6" t="str">
        <f t="shared" si="70"/>
        <v>-</v>
      </c>
      <c r="AA32" s="6" t="s">
        <v>91</v>
      </c>
      <c r="AB32" s="6" t="s">
        <v>316</v>
      </c>
      <c r="AC32" s="6" t="s">
        <v>307</v>
      </c>
      <c r="AD32" s="6" t="s">
        <v>310</v>
      </c>
    </row>
  </sheetData>
  <sheetProtection sheet="1" objects="1"/>
  <mergeCells count="4">
    <mergeCell ref="B6:B16"/>
    <mergeCell ref="B17:B28"/>
    <mergeCell ref="B29:B32"/>
    <mergeCell ref="B4:C5"/>
  </mergeCells>
  <phoneticPr fontId="8"/>
  <pageMargins left="0.69930555555555596" right="0.69930555555555596"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00000000-000E-0000-0800-000001000000}">
            <xm:f>MATCH(C5,ロジックマスタ!$B$5:$B$23,0)</xm:f>
            <x14:dxf>
              <font>
                <color theme="0"/>
              </font>
              <fill>
                <patternFill patternType="solid">
                  <bgColor rgb="FF00B050"/>
                </patternFill>
              </fill>
            </x14:dxf>
          </x14:cfRule>
          <x14:cfRule type="expression" priority="2" id="{00000000-000E-0000-0800-000002000000}">
            <xm:f>MATCH(C5,ロジックマスタ!$B$24:$B$29,0)</xm:f>
            <x14:dxf>
              <font>
                <color theme="0"/>
              </font>
              <fill>
                <patternFill patternType="solid">
                  <bgColor rgb="FF0070C0"/>
                </patternFill>
              </fill>
            </x14:dxf>
          </x14:cfRule>
          <x14:cfRule type="expression" priority="4" id="{00000000-000E-0000-0800-000004000000}">
            <xm:f>MATCH(C5,ロジックマスタ!$B$30:$B$56,0)</xm:f>
            <x14:dxf>
              <font>
                <color theme="0"/>
              </font>
              <fill>
                <patternFill patternType="solid">
                  <bgColor rgb="FFFF0000"/>
                </patternFill>
              </fill>
            </x14:dxf>
          </x14:cfRule>
          <xm:sqref>C6:AD32 D5:AD5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説明</vt:lpstr>
      <vt:lpstr>確認シートA</vt:lpstr>
      <vt:lpstr>確認シートB</vt:lpstr>
      <vt:lpstr>確認シートC</vt:lpstr>
      <vt:lpstr>ボディマスタ</vt:lpstr>
      <vt:lpstr>主原料マスタ</vt:lpstr>
      <vt:lpstr>ロジック形状</vt:lpstr>
      <vt:lpstr>ロジックマスタ</vt:lpstr>
      <vt:lpstr>ロジックテーブル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pcma</dc:creator>
  <cp:lastModifiedBy>ririadmin</cp:lastModifiedBy>
  <dcterms:created xsi:type="dcterms:W3CDTF">2017-11-28T14:47:00Z</dcterms:created>
  <dcterms:modified xsi:type="dcterms:W3CDTF">2024-09-20T11:51:19Z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